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ranchisee\Bankedge Franchisee ROI\"/>
    </mc:Choice>
  </mc:AlternateContent>
  <bookViews>
    <workbookView xWindow="0" yWindow="0" windowWidth="20490" windowHeight="7530" tabRatio="733"/>
  </bookViews>
  <sheets>
    <sheet name="Title" sheetId="8" r:id="rId1"/>
    <sheet name="Operating Expenses" sheetId="4" r:id="rId2"/>
    <sheet name="Annual Cost Sheet" sheetId="5" r:id="rId3"/>
    <sheet name="Capacity projection" sheetId="6" r:id="rId4"/>
    <sheet name="Rev against Exp" sheetId="2" r:id="rId5"/>
    <sheet name="Fees Cart" sheetId="10" r:id="rId6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2" l="1"/>
  <c r="B16" i="2"/>
  <c r="B9" i="2"/>
  <c r="C9" i="6"/>
  <c r="D18" i="4"/>
  <c r="D16" i="4"/>
  <c r="C10" i="6" l="1"/>
  <c r="C7" i="6"/>
  <c r="C6" i="6"/>
  <c r="C5" i="6"/>
  <c r="C4" i="6"/>
  <c r="K18" i="6"/>
  <c r="K17" i="6"/>
  <c r="K16" i="6"/>
  <c r="I19" i="6" s="1"/>
  <c r="H12" i="6"/>
  <c r="K12" i="6" s="1"/>
  <c r="H11" i="6"/>
  <c r="K11" i="6" s="1"/>
  <c r="H10" i="6"/>
  <c r="K10" i="6" s="1"/>
  <c r="I14" i="6" s="1"/>
  <c r="E18" i="4"/>
  <c r="F18" i="4" s="1"/>
  <c r="G18" i="4" s="1"/>
  <c r="H18" i="4" s="1"/>
  <c r="D17" i="4"/>
  <c r="F11" i="4" l="1"/>
  <c r="H11" i="4"/>
  <c r="F12" i="4"/>
  <c r="H12" i="4"/>
  <c r="G34" i="6" l="1"/>
  <c r="H34" i="6" s="1"/>
  <c r="H33" i="6"/>
  <c r="H30" i="6"/>
  <c r="H29" i="6"/>
  <c r="H38" i="6" l="1"/>
  <c r="G38" i="6"/>
  <c r="H37" i="6"/>
  <c r="G37" i="6"/>
  <c r="F41" i="6"/>
  <c r="F43" i="6" s="1"/>
  <c r="H41" i="6" l="1"/>
  <c r="G41" i="6"/>
  <c r="D19" i="4"/>
  <c r="G42" i="6" l="1"/>
  <c r="H42" i="6"/>
  <c r="H43" i="6" l="1"/>
  <c r="G43" i="6"/>
  <c r="E17" i="4" l="1"/>
  <c r="F17" i="4" s="1"/>
  <c r="G17" i="4" s="1"/>
  <c r="H17" i="4" s="1"/>
  <c r="E19" i="4"/>
  <c r="F19" i="4" s="1"/>
  <c r="G19" i="4" s="1"/>
  <c r="H19" i="4" s="1"/>
  <c r="D23" i="4"/>
  <c r="D5" i="4"/>
  <c r="E5" i="4" s="1"/>
  <c r="F5" i="4" s="1"/>
  <c r="G5" i="4" s="1"/>
  <c r="H5" i="4" s="1"/>
  <c r="D10" i="4"/>
  <c r="E10" i="4" s="1"/>
  <c r="E24" i="4"/>
  <c r="F24" i="4" s="1"/>
  <c r="E23" i="4"/>
  <c r="D6" i="4"/>
  <c r="D24" i="4"/>
  <c r="E16" i="4" l="1"/>
  <c r="F16" i="4" s="1"/>
  <c r="G16" i="4" s="1"/>
  <c r="H16" i="4" s="1"/>
  <c r="D20" i="4"/>
  <c r="E20" i="4" s="1"/>
  <c r="F20" i="4" s="1"/>
  <c r="D7" i="4"/>
  <c r="E7" i="4" s="1"/>
  <c r="F7" i="4" s="1"/>
  <c r="D5" i="5" s="1"/>
  <c r="E6" i="4"/>
  <c r="F6" i="4" s="1"/>
  <c r="G6" i="4" s="1"/>
  <c r="H6" i="4" s="1"/>
  <c r="E25" i="4"/>
  <c r="D25" i="4"/>
  <c r="D13" i="4"/>
  <c r="B5" i="2"/>
  <c r="F23" i="4"/>
  <c r="G23" i="4" s="1"/>
  <c r="H23" i="4" s="1"/>
  <c r="G24" i="4"/>
  <c r="H24" i="4" s="1"/>
  <c r="F10" i="4"/>
  <c r="G10" i="4" s="1"/>
  <c r="E13" i="4"/>
  <c r="F13" i="4" s="1"/>
  <c r="D6" i="5" s="1"/>
  <c r="B7" i="2" l="1"/>
  <c r="G7" i="4"/>
  <c r="E5" i="5" s="1"/>
  <c r="B12" i="2"/>
  <c r="H25" i="4"/>
  <c r="F3" i="5" s="1"/>
  <c r="F25" i="4"/>
  <c r="F27" i="4" s="1"/>
  <c r="D27" i="4"/>
  <c r="G20" i="4"/>
  <c r="H20" i="4" s="1"/>
  <c r="F4" i="5" s="1"/>
  <c r="D4" i="5"/>
  <c r="B8" i="2"/>
  <c r="B6" i="2"/>
  <c r="G25" i="4"/>
  <c r="E27" i="4"/>
  <c r="H10" i="4"/>
  <c r="G13" i="4"/>
  <c r="B14" i="2" l="1"/>
  <c r="H7" i="4"/>
  <c r="F5" i="5" s="1"/>
  <c r="B15" i="2"/>
  <c r="E4" i="5"/>
  <c r="D3" i="5"/>
  <c r="D8" i="5" s="1"/>
  <c r="B19" i="2"/>
  <c r="B13" i="2"/>
  <c r="G27" i="4"/>
  <c r="E3" i="5"/>
  <c r="H13" i="4"/>
  <c r="F6" i="5" s="1"/>
  <c r="E6" i="5"/>
  <c r="B21" i="2" l="1"/>
  <c r="F8" i="5"/>
  <c r="B20" i="2"/>
  <c r="E7" i="2"/>
  <c r="B22" i="2"/>
  <c r="E8" i="5"/>
  <c r="H27" i="4"/>
  <c r="E14" i="2" l="1"/>
  <c r="E15" i="2"/>
  <c r="E11" i="2"/>
  <c r="E12" i="2"/>
  <c r="E13" i="2"/>
  <c r="F7" i="2"/>
  <c r="G7" i="2"/>
  <c r="G11" i="2" s="1"/>
  <c r="F11" i="2" l="1"/>
  <c r="F12" i="2"/>
  <c r="F14" i="2"/>
  <c r="F13" i="2"/>
  <c r="F15" i="2"/>
  <c r="G15" i="2"/>
  <c r="G13" i="2"/>
  <c r="G12" i="2"/>
  <c r="G14" i="2"/>
</calcChain>
</file>

<file path=xl/sharedStrings.xml><?xml version="1.0" encoding="utf-8"?>
<sst xmlns="http://schemas.openxmlformats.org/spreadsheetml/2006/main" count="227" uniqueCount="180">
  <si>
    <t>UTILITIES</t>
  </si>
  <si>
    <t>ELECTRICITY EXPENSE</t>
  </si>
  <si>
    <t>TOTAL UTILITIES EXPENSE</t>
  </si>
  <si>
    <t>TOTAL MANPOWER EXPENSE</t>
  </si>
  <si>
    <t>100% Capacity Utilisation</t>
  </si>
  <si>
    <t>50% Capacity Utilisation</t>
  </si>
  <si>
    <t>Operating Expenses</t>
  </si>
  <si>
    <t>A</t>
  </si>
  <si>
    <t>MANPOWER</t>
  </si>
  <si>
    <t>B</t>
  </si>
  <si>
    <t>MARKETING AND ADMIN</t>
  </si>
  <si>
    <t>TOTAL MARKETING AND ADMIN EXPENSE</t>
  </si>
  <si>
    <t>Total YRLY Expense</t>
  </si>
  <si>
    <t>Total MTHLY Expense</t>
  </si>
  <si>
    <t>Per Unit</t>
  </si>
  <si>
    <t>YEAR 1</t>
  </si>
  <si>
    <t>ANNUAL COST SHEET</t>
  </si>
  <si>
    <t>1st year</t>
  </si>
  <si>
    <t>CAPACITY PROJECTIONS</t>
  </si>
  <si>
    <t>Profit/Loss @ 100% Cap Utilisation</t>
  </si>
  <si>
    <t>Profit/Loss @ 75% Cap Utilisation</t>
  </si>
  <si>
    <t>Profit/Loss @ 50% Cap Utilisation</t>
  </si>
  <si>
    <t>Annual Marketing Expense</t>
  </si>
  <si>
    <t>Annual Manpower Expense</t>
  </si>
  <si>
    <t>Utilities Expense</t>
  </si>
  <si>
    <t>75% Capacity Utilisation</t>
  </si>
  <si>
    <t>may occur . You are strongly recommended to do your own calculation" .</t>
  </si>
  <si>
    <t>Projected Expenses*</t>
  </si>
  <si>
    <t>TOTAL ANNUAL EXP*</t>
  </si>
  <si>
    <t>Total Operating Expenses*</t>
  </si>
  <si>
    <t>2nd year</t>
  </si>
  <si>
    <t>3rd year</t>
  </si>
  <si>
    <t>YEAR 2</t>
  </si>
  <si>
    <t>YEAR 3</t>
  </si>
  <si>
    <t>TELEPHONE &amp; INTERNET EXPENSE</t>
  </si>
  <si>
    <t>C</t>
  </si>
  <si>
    <t>INFRASTRUCTURE</t>
  </si>
  <si>
    <t>HARDWARE</t>
  </si>
  <si>
    <t>SOFTWARE</t>
  </si>
  <si>
    <t>TOTAL INFRASTUCTURE EXPENSE</t>
  </si>
  <si>
    <t>Annual Infrastructure Expense</t>
  </si>
  <si>
    <t>Year-1</t>
  </si>
  <si>
    <t>Year-2</t>
  </si>
  <si>
    <t>Year-3</t>
  </si>
  <si>
    <t>Year-1 Annual Exp</t>
  </si>
  <si>
    <t>Year 2</t>
  </si>
  <si>
    <t>Year 3</t>
  </si>
  <si>
    <t>Year 1</t>
  </si>
  <si>
    <t>D</t>
  </si>
  <si>
    <t xml:space="preserve">FRANCHISEE INVESTMENT WORKING SHEET </t>
  </si>
  <si>
    <t>TOTAL Yearly Revenue Potential</t>
  </si>
  <si>
    <t>Projected Revenues 1st Year *</t>
  </si>
  <si>
    <t>Projected Revenues 2nd  Year*</t>
  </si>
  <si>
    <t>Projected Revenues 3rd  Year*</t>
  </si>
  <si>
    <t>MISC / PETTY CASH</t>
  </si>
  <si>
    <t>9AM-11AM</t>
  </si>
  <si>
    <t>2PM-4PM</t>
  </si>
  <si>
    <t>11AM-1PM</t>
  </si>
  <si>
    <t>4PM-6PM</t>
  </si>
  <si>
    <t>SLOTS</t>
  </si>
  <si>
    <t>This is only an estimated Projection and BankEdge is not responsible for any variance which</t>
  </si>
  <si>
    <t>MEDIA EXPENSES  / LOCAL MARKETING</t>
  </si>
  <si>
    <t>Duration in Months</t>
  </si>
  <si>
    <t>Duration in Weeks</t>
  </si>
  <si>
    <t>Duration in Hours</t>
  </si>
  <si>
    <t>PGP IN BANKING &amp; FINANCE</t>
  </si>
  <si>
    <t>Fee Structure</t>
  </si>
  <si>
    <t>Partner Share</t>
  </si>
  <si>
    <t>HO Share</t>
  </si>
  <si>
    <t>Students</t>
  </si>
  <si>
    <t>Target Students</t>
  </si>
  <si>
    <t>Batches of PGP</t>
  </si>
  <si>
    <t>Partner Earning</t>
  </si>
  <si>
    <t>Total</t>
  </si>
  <si>
    <t>Year-2 Annual Exp</t>
  </si>
  <si>
    <t>Year-3  Annual Exp</t>
  </si>
  <si>
    <t>BankEdge - The Retail Training Academy</t>
  </si>
  <si>
    <t>*NOTE :</t>
  </si>
  <si>
    <t>* NOTE :</t>
  </si>
  <si>
    <t>Total Yearly Intake / Admission @ 100% Capacity</t>
  </si>
  <si>
    <t>Product Offerings - Earnings</t>
  </si>
  <si>
    <t>Product Offerings - Pricing</t>
  </si>
  <si>
    <t>Product Offerings - Duration</t>
  </si>
  <si>
    <t>Batches of PCPBF</t>
  </si>
  <si>
    <t xml:space="preserve">PCPBF </t>
  </si>
  <si>
    <t>PCPBF</t>
  </si>
  <si>
    <t>Royalty to BANKEDGE -@50%</t>
  </si>
  <si>
    <t>SHARE OF THE BUSINESS PARTNER @ 50%</t>
  </si>
  <si>
    <t>Visit: www.bankedge.in</t>
  </si>
  <si>
    <t>60% Capacity Utilisation</t>
  </si>
  <si>
    <t>RENT / MAINTENANCE</t>
  </si>
  <si>
    <t>OFFICE BOY - 1</t>
  </si>
  <si>
    <t>Program Name</t>
  </si>
  <si>
    <t>Duration</t>
  </si>
  <si>
    <t>Fees (GST Inclusive)</t>
  </si>
  <si>
    <t>Key Modules</t>
  </si>
  <si>
    <t>Eligibility Checks</t>
  </si>
  <si>
    <t>Salary/Salary Range Per Annum</t>
  </si>
  <si>
    <t>ICICI Securities CSM Program</t>
  </si>
  <si>
    <t>21 Days</t>
  </si>
  <si>
    <t>Rs.30000</t>
  </si>
  <si>
    <t>Stock Market, Demat Account, Product &amp; Process Training, Sales &amp; Relationship Management</t>
  </si>
  <si>
    <t>Graduate, 50% &amp; Above Score, Age Below 25 Years, No Correspondence Education Allowed, No Education Gap more than 2 years allowed, 50% of fees reimbursed by ICICI Sec after 1 year of employment.</t>
  </si>
  <si>
    <t>2.5 to 2.75LPA + Additional Perks</t>
  </si>
  <si>
    <t>Yes Bank Sales Force Program</t>
  </si>
  <si>
    <t>15 Days</t>
  </si>
  <si>
    <t>Banking Products &amp; Services, Customer Services, Sales &amp; Relationship Management, Bank Specific Product Training, Certification</t>
  </si>
  <si>
    <t>Graduate, 50% &amp; Above, Age Below 27 Years, No Correspondence Education Allowed, No Education Gap more than 2 years allowed, No fees reimbursement option available here</t>
  </si>
  <si>
    <t>Rs 2.75 to 3LPA + Additional Perks</t>
  </si>
  <si>
    <t>Contact Centre Program (VBOP_ - Upcoming)</t>
  </si>
  <si>
    <t>40 Days</t>
  </si>
  <si>
    <t>Retail Banking, Customer Service, Digital Banking, Sales &amp; Relationship Management, LMS Access</t>
  </si>
  <si>
    <t>Graduate, 50% &amp; Above Score, Age Below 28 Years, No Correspondence Education Allowed, No Education Gap more than 2 years allowed.</t>
  </si>
  <si>
    <t>2.4 to 3.5LPA</t>
  </si>
  <si>
    <t>PROBE+ (Professional Banking Executive Program)</t>
  </si>
  <si>
    <t>3 months</t>
  </si>
  <si>
    <t>Rs.40000</t>
  </si>
  <si>
    <t>Retail Banking, Mock Interviews</t>
  </si>
  <si>
    <t>Graduate, 50% &amp; Above, Age Below 26 Years, No Correspondence Education Allowed, No Education Gap more than 2 years allowed.</t>
  </si>
  <si>
    <t>1.80 to 2.5LPA</t>
  </si>
  <si>
    <t>PCPBF (Professional Certificate Program in BF)</t>
  </si>
  <si>
    <t>5 months</t>
  </si>
  <si>
    <t>Retail Banking, Credit &amp; Risk Management, Trade Finance, Personal Finance</t>
  </si>
  <si>
    <t>Graduate, 50% &amp; Above, Age Below 26 Years, No Correspondence Education Allowed, No Education Gap more than 2 years allowed</t>
  </si>
  <si>
    <t>2.4 to 4LPA</t>
  </si>
  <si>
    <t>PGP+ (Post Graduate Program Plus)</t>
  </si>
  <si>
    <t>8 months</t>
  </si>
  <si>
    <t>Retail Banking, Credit &amp; Risk Management, Trade Finance, Investment Banking Operations</t>
  </si>
  <si>
    <t>Graduate, 50% &amp; Above, Age Below 26 Years, No Correspondence Education Allowed, No Education Gap more than 2 years allowed, Good English Communication Skills</t>
  </si>
  <si>
    <t>2.5 to 4.5LPA</t>
  </si>
  <si>
    <t>MBA in Retail Banking Operations (Jain University)</t>
  </si>
  <si>
    <t>2.5 years</t>
  </si>
  <si>
    <t>PCPBF + Jain University Program - Bengaluru</t>
  </si>
  <si>
    <t>Graduate, 50% &amp; Above, Age Below 25 Years, No Correspondence Education Allowed, No Education Gap more than 2 years allowed</t>
  </si>
  <si>
    <t>2.4 to 4.5LPA</t>
  </si>
  <si>
    <t>PGDM in Banking &amp; Finance (AIMA)</t>
  </si>
  <si>
    <t>PCPBF + AIMA Program - Delhi</t>
  </si>
  <si>
    <t>Graduate, 50% &amp; Above, Age Below 28 Years, No Correspondence Education Allowed, No Education Gap more than 2 years allowed, Good English</t>
  </si>
  <si>
    <t>Graduate, 50% &amp; Above, Age Below 26 Years, Good English Communication Skills, Smart Candidate</t>
  </si>
  <si>
    <t>3.5 to 6 LPA Plus</t>
  </si>
  <si>
    <t>4 months</t>
  </si>
  <si>
    <t>Investment Banking Operations, Valuation, Derivatives Processing, Trade Execution Analysis, Settlement, Cash management</t>
  </si>
  <si>
    <t>Rs 30000</t>
  </si>
  <si>
    <t xml:space="preserve">PCP-IBO </t>
  </si>
  <si>
    <t>TELE CALLER - 2</t>
  </si>
  <si>
    <t>BDM / BDE (BUSINESS DEVELOPMENT) - 2</t>
  </si>
  <si>
    <t>7AM-9AM</t>
  </si>
  <si>
    <t>6PM-8PM</t>
  </si>
  <si>
    <t>8PM-10PM</t>
  </si>
  <si>
    <t>M-W-F</t>
  </si>
  <si>
    <t>T-T-S</t>
  </si>
  <si>
    <t>WEEKEND</t>
  </si>
  <si>
    <t>Students Per Slot</t>
  </si>
  <si>
    <t>Total Studnets</t>
  </si>
  <si>
    <t>Slots Alloted to 3 months</t>
  </si>
  <si>
    <t>Slots alloted for 6 monthds</t>
  </si>
  <si>
    <t>Total Students</t>
  </si>
  <si>
    <t>Slots alloted for 12 Months</t>
  </si>
  <si>
    <t>Cycle</t>
  </si>
  <si>
    <t>Cylcle</t>
  </si>
  <si>
    <t>No of Slots</t>
  </si>
  <si>
    <t>Classroom / Lab</t>
  </si>
  <si>
    <t>Empty Slots</t>
  </si>
  <si>
    <t>TOTAL STUDNETS</t>
  </si>
  <si>
    <t>Avg Fees</t>
  </si>
  <si>
    <t>TOTAL REVENUE POTENTIAL</t>
  </si>
  <si>
    <t>Rs 125000</t>
  </si>
  <si>
    <t>Rs.375000</t>
  </si>
  <si>
    <t>Rs.40000*</t>
  </si>
  <si>
    <t>Rs.75000</t>
  </si>
  <si>
    <t>Rs.125000</t>
  </si>
  <si>
    <t>Rs.236000</t>
  </si>
  <si>
    <t>COUNSELLOR - 1</t>
  </si>
  <si>
    <t>PROJECTED BUSINESS EXPENSES</t>
  </si>
  <si>
    <t>Profit/Loss @ 60% Cap Utilisation</t>
  </si>
  <si>
    <t xml:space="preserve">PROJECTED PROFIT / LOSS </t>
  </si>
  <si>
    <t>Capacity Utilisation @ 15% in the First Year</t>
  </si>
  <si>
    <t>Monthly Minimum Enrolments Required to meet 15% Capacity Utilisation</t>
  </si>
  <si>
    <t>15% Capacity Utilisation</t>
  </si>
  <si>
    <t>Profit/Loss @ 15% Cap Utilisation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</si>
</sst>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_(* #,##0_);_(* \(#,##0\);_(* &quot;-&quot;??_);_(@_)"/>
    <numFmt numFmtId="167" formatCode="_-* #,##0_-;\-* #,##0_-;_-* &quot;-&quot;??_-;_-@_-"/>
  </numFmts>
  <fonts count="29" x14ac:knownFonts="1">
    <font>
      <sz val="10"/>
      <name val="Arial"/>
    </font>
    <font>
      <sz val="10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i/>
      <sz val="12"/>
      <color indexed="8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sz val="8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4"/>
      <color indexed="9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b/>
      <sz val="11"/>
      <color indexed="9"/>
      <name val="Arial"/>
      <family val="2"/>
    </font>
    <font>
      <sz val="16"/>
      <name val="Arial"/>
      <family val="2"/>
    </font>
    <font>
      <b/>
      <sz val="11"/>
      <color indexed="9"/>
      <name val="Arial"/>
      <family val="2"/>
    </font>
    <font>
      <b/>
      <u/>
      <sz val="24"/>
      <name val="Arial"/>
      <family val="2"/>
    </font>
    <font>
      <b/>
      <sz val="12"/>
      <color theme="0"/>
      <name val="Arial"/>
      <family val="2"/>
    </font>
    <font>
      <b/>
      <sz val="8"/>
      <name val="Arial"/>
      <family val="2"/>
    </font>
    <font>
      <b/>
      <sz val="10"/>
      <color theme="0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4"/>
      <name val="Arial"/>
      <family val="2"/>
    </font>
    <font>
      <b/>
      <sz val="11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85">
    <xf numFmtId="0" fontId="0" fillId="0" borderId="0" xfId="0"/>
    <xf numFmtId="0" fontId="3" fillId="0" borderId="1" xfId="0" applyFont="1" applyBorder="1" applyAlignment="1">
      <alignment horizontal="center"/>
    </xf>
    <xf numFmtId="0" fontId="5" fillId="0" borderId="0" xfId="0" applyFont="1"/>
    <xf numFmtId="0" fontId="2" fillId="0" borderId="0" xfId="0" applyFont="1"/>
    <xf numFmtId="0" fontId="0" fillId="0" borderId="0" xfId="0" applyAlignment="1">
      <alignment horizontal="right"/>
    </xf>
    <xf numFmtId="0" fontId="4" fillId="0" borderId="0" xfId="0" applyFont="1"/>
    <xf numFmtId="0" fontId="6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0" borderId="0" xfId="0" applyFont="1"/>
    <xf numFmtId="0" fontId="2" fillId="0" borderId="6" xfId="0" applyFont="1" applyBorder="1" applyAlignment="1">
      <alignment horizontal="center"/>
    </xf>
    <xf numFmtId="0" fontId="10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2" fillId="0" borderId="0" xfId="0" applyFont="1"/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2" fillId="5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vertical="center"/>
    </xf>
    <xf numFmtId="164" fontId="3" fillId="0" borderId="9" xfId="1" applyFont="1" applyBorder="1" applyAlignment="1">
      <alignment horizontal="center" vertical="center"/>
    </xf>
    <xf numFmtId="0" fontId="15" fillId="0" borderId="0" xfId="0" applyFont="1"/>
    <xf numFmtId="164" fontId="3" fillId="0" borderId="0" xfId="0" applyNumberFormat="1" applyFont="1" applyAlignment="1">
      <alignment horizontal="center"/>
    </xf>
    <xf numFmtId="0" fontId="7" fillId="7" borderId="5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16" fontId="7" fillId="7" borderId="4" xfId="0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1" fillId="0" borderId="0" xfId="0" applyFont="1"/>
    <xf numFmtId="0" fontId="2" fillId="0" borderId="18" xfId="0" applyFont="1" applyBorder="1" applyAlignment="1">
      <alignment horizontal="center" vertical="center"/>
    </xf>
    <xf numFmtId="3" fontId="4" fillId="0" borderId="7" xfId="0" applyNumberFormat="1" applyFont="1" applyBorder="1" applyAlignment="1">
      <alignment horizontal="center" vertical="center"/>
    </xf>
    <xf numFmtId="164" fontId="3" fillId="0" borderId="7" xfId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6" fillId="2" borderId="8" xfId="0" applyFont="1" applyFill="1" applyBorder="1" applyAlignment="1">
      <alignment vertical="center"/>
    </xf>
    <xf numFmtId="3" fontId="16" fillId="2" borderId="7" xfId="0" applyNumberFormat="1" applyFont="1" applyFill="1" applyBorder="1" applyAlignment="1">
      <alignment horizontal="center" vertical="center"/>
    </xf>
    <xf numFmtId="164" fontId="16" fillId="2" borderId="7" xfId="1" applyFont="1" applyFill="1" applyBorder="1" applyAlignment="1">
      <alignment horizontal="center" vertical="center"/>
    </xf>
    <xf numFmtId="164" fontId="16" fillId="2" borderId="9" xfId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5" fillId="4" borderId="7" xfId="0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164" fontId="4" fillId="0" borderId="7" xfId="1" applyFont="1" applyBorder="1" applyAlignment="1">
      <alignment horizontal="center" vertical="center"/>
    </xf>
    <xf numFmtId="164" fontId="5" fillId="0" borderId="7" xfId="1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164" fontId="7" fillId="0" borderId="7" xfId="1" applyFont="1" applyBorder="1" applyAlignment="1">
      <alignment horizontal="center" vertical="center"/>
    </xf>
    <xf numFmtId="164" fontId="5" fillId="4" borderId="7" xfId="1" applyFont="1" applyFill="1" applyBorder="1" applyAlignment="1">
      <alignment horizontal="center" vertical="center"/>
    </xf>
    <xf numFmtId="164" fontId="4" fillId="4" borderId="7" xfId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16" fillId="2" borderId="7" xfId="0" applyFont="1" applyFill="1" applyBorder="1" applyAlignment="1">
      <alignment vertical="center"/>
    </xf>
    <xf numFmtId="164" fontId="17" fillId="2" borderId="7" xfId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164" fontId="13" fillId="0" borderId="15" xfId="1" applyFont="1" applyBorder="1" applyAlignment="1">
      <alignment horizontal="center" vertical="center"/>
    </xf>
    <xf numFmtId="0" fontId="14" fillId="0" borderId="8" xfId="0" applyFont="1" applyBorder="1" applyAlignment="1">
      <alignment vertical="center"/>
    </xf>
    <xf numFmtId="164" fontId="13" fillId="0" borderId="9" xfId="1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8" xfId="0" applyFont="1" applyBorder="1" applyAlignment="1">
      <alignment horizontal="left" vertical="center"/>
    </xf>
    <xf numFmtId="0" fontId="14" fillId="0" borderId="10" xfId="0" applyFont="1" applyBorder="1" applyAlignment="1">
      <alignment vertical="center"/>
    </xf>
    <xf numFmtId="164" fontId="13" fillId="0" borderId="17" xfId="1" applyFont="1" applyBorder="1" applyAlignment="1">
      <alignment horizontal="center" vertical="center"/>
    </xf>
    <xf numFmtId="0" fontId="12" fillId="7" borderId="5" xfId="0" applyFont="1" applyFill="1" applyBorder="1" applyAlignment="1">
      <alignment vertical="center"/>
    </xf>
    <xf numFmtId="164" fontId="13" fillId="7" borderId="12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0" xfId="0" applyFont="1"/>
    <xf numFmtId="0" fontId="23" fillId="0" borderId="0" xfId="0" applyFont="1"/>
    <xf numFmtId="1" fontId="5" fillId="0" borderId="8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5" fillId="7" borderId="2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164" fontId="5" fillId="0" borderId="14" xfId="1" applyFont="1" applyBorder="1" applyAlignment="1">
      <alignment horizontal="center" vertical="center"/>
    </xf>
    <xf numFmtId="164" fontId="7" fillId="7" borderId="4" xfId="1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7" borderId="12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1" fontId="7" fillId="7" borderId="4" xfId="1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4" fillId="0" borderId="11" xfId="0" applyFont="1" applyBorder="1" applyAlignment="1">
      <alignment horizontal="left" vertical="center"/>
    </xf>
    <xf numFmtId="164" fontId="13" fillId="0" borderId="16" xfId="1" applyFont="1" applyBorder="1" applyAlignment="1">
      <alignment horizontal="center" vertical="center"/>
    </xf>
    <xf numFmtId="165" fontId="11" fillId="0" borderId="27" xfId="0" applyNumberFormat="1" applyFont="1" applyBorder="1" applyAlignment="1">
      <alignment vertical="center"/>
    </xf>
    <xf numFmtId="0" fontId="12" fillId="0" borderId="8" xfId="0" applyFont="1" applyBorder="1" applyAlignment="1">
      <alignment vertical="center"/>
    </xf>
    <xf numFmtId="164" fontId="7" fillId="7" borderId="2" xfId="1" applyFont="1" applyFill="1" applyBorder="1" applyAlignment="1">
      <alignment horizontal="center" vertical="center"/>
    </xf>
    <xf numFmtId="0" fontId="22" fillId="5" borderId="8" xfId="0" applyFont="1" applyFill="1" applyBorder="1" applyAlignment="1">
      <alignment horizontal="center" vertical="center" wrapText="1"/>
    </xf>
    <xf numFmtId="0" fontId="16" fillId="6" borderId="8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166" fontId="22" fillId="5" borderId="16" xfId="0" applyNumberFormat="1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164" fontId="5" fillId="0" borderId="14" xfId="1" applyFont="1" applyBorder="1" applyAlignment="1">
      <alignment horizontal="left" vertical="center"/>
    </xf>
    <xf numFmtId="0" fontId="26" fillId="9" borderId="7" xfId="0" applyFont="1" applyFill="1" applyBorder="1" applyAlignment="1">
      <alignment horizontal="left" vertical="center" wrapText="1"/>
    </xf>
    <xf numFmtId="0" fontId="7" fillId="7" borderId="21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1" fontId="5" fillId="0" borderId="29" xfId="0" applyNumberFormat="1" applyFont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0" fontId="5" fillId="7" borderId="30" xfId="0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164" fontId="5" fillId="7" borderId="9" xfId="1" applyFont="1" applyFill="1" applyBorder="1" applyAlignment="1">
      <alignment horizontal="center" vertical="center"/>
    </xf>
    <xf numFmtId="164" fontId="5" fillId="7" borderId="17" xfId="1" applyFont="1" applyFill="1" applyBorder="1" applyAlignment="1">
      <alignment horizontal="center" vertical="center"/>
    </xf>
    <xf numFmtId="164" fontId="5" fillId="7" borderId="7" xfId="1" applyFont="1" applyFill="1" applyBorder="1" applyAlignment="1">
      <alignment horizontal="center" vertical="center"/>
    </xf>
    <xf numFmtId="164" fontId="5" fillId="7" borderId="30" xfId="1" applyFont="1" applyFill="1" applyBorder="1" applyAlignment="1">
      <alignment horizontal="center" vertical="center"/>
    </xf>
    <xf numFmtId="166" fontId="16" fillId="6" borderId="9" xfId="1" applyNumberFormat="1" applyFont="1" applyFill="1" applyBorder="1" applyAlignment="1">
      <alignment horizontal="center" vertical="center"/>
    </xf>
    <xf numFmtId="167" fontId="22" fillId="5" borderId="2" xfId="0" applyNumberFormat="1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left" vertical="center" wrapText="1"/>
    </xf>
    <xf numFmtId="0" fontId="25" fillId="8" borderId="11" xfId="0" applyFont="1" applyFill="1" applyBorder="1" applyAlignment="1">
      <alignment horizontal="left" vertical="center" wrapText="1"/>
    </xf>
    <xf numFmtId="0" fontId="25" fillId="8" borderId="22" xfId="0" applyFont="1" applyFill="1" applyBorder="1" applyAlignment="1">
      <alignment horizontal="left" vertical="center" wrapText="1"/>
    </xf>
    <xf numFmtId="0" fontId="25" fillId="8" borderId="16" xfId="0" applyFont="1" applyFill="1" applyBorder="1" applyAlignment="1">
      <alignment horizontal="left" vertical="center" wrapText="1"/>
    </xf>
    <xf numFmtId="0" fontId="26" fillId="9" borderId="8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26" fillId="0" borderId="8" xfId="0" applyFont="1" applyFill="1" applyBorder="1" applyAlignment="1">
      <alignment horizontal="left" vertical="center" wrapText="1"/>
    </xf>
    <xf numFmtId="0" fontId="26" fillId="0" borderId="3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9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15" fillId="3" borderId="0" xfId="0" applyFont="1" applyFill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27" fillId="7" borderId="20" xfId="0" applyFont="1" applyFill="1" applyBorder="1" applyAlignment="1">
      <alignment horizontal="center" vertical="center"/>
    </xf>
    <xf numFmtId="0" fontId="27" fillId="7" borderId="24" xfId="0" applyFont="1" applyFill="1" applyBorder="1" applyAlignment="1">
      <alignment horizontal="center" vertical="center"/>
    </xf>
    <xf numFmtId="0" fontId="27" fillId="7" borderId="25" xfId="0" applyFont="1" applyFill="1" applyBorder="1" applyAlignment="1">
      <alignment horizontal="center" vertical="center"/>
    </xf>
    <xf numFmtId="164" fontId="27" fillId="7" borderId="20" xfId="1" applyFont="1" applyFill="1" applyBorder="1" applyAlignment="1">
      <alignment horizontal="center" vertical="center"/>
    </xf>
    <xf numFmtId="164" fontId="27" fillId="7" borderId="24" xfId="1" applyFont="1" applyFill="1" applyBorder="1" applyAlignment="1">
      <alignment horizontal="center" vertical="center"/>
    </xf>
    <xf numFmtId="164" fontId="27" fillId="7" borderId="25" xfId="1" applyFont="1" applyFill="1" applyBorder="1" applyAlignment="1">
      <alignment horizontal="center" vertical="center"/>
    </xf>
    <xf numFmtId="0" fontId="16" fillId="2" borderId="26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64" fontId="11" fillId="0" borderId="29" xfId="1" applyFont="1" applyBorder="1" applyAlignment="1">
      <alignment horizontal="center" vertical="center"/>
    </xf>
    <xf numFmtId="164" fontId="11" fillId="0" borderId="7" xfId="1" applyFont="1" applyBorder="1" applyAlignment="1">
      <alignment horizontal="center" vertical="center"/>
    </xf>
    <xf numFmtId="43" fontId="12" fillId="0" borderId="7" xfId="0" applyNumberFormat="1" applyFont="1" applyBorder="1" applyAlignment="1">
      <alignment vertical="center"/>
    </xf>
    <xf numFmtId="43" fontId="12" fillId="0" borderId="9" xfId="0" applyNumberFormat="1" applyFont="1" applyBorder="1" applyAlignment="1">
      <alignment vertical="center"/>
    </xf>
    <xf numFmtId="0" fontId="13" fillId="0" borderId="10" xfId="0" applyFont="1" applyBorder="1" applyAlignment="1">
      <alignment horizontal="left" vertical="center"/>
    </xf>
    <xf numFmtId="43" fontId="12" fillId="0" borderId="30" xfId="0" applyNumberFormat="1" applyFont="1" applyBorder="1" applyAlignment="1">
      <alignment vertical="center"/>
    </xf>
    <xf numFmtId="43" fontId="12" fillId="0" borderId="17" xfId="0" applyNumberFormat="1" applyFont="1" applyBorder="1" applyAlignment="1">
      <alignment vertical="center"/>
    </xf>
    <xf numFmtId="0" fontId="13" fillId="7" borderId="5" xfId="0" applyFont="1" applyFill="1" applyBorder="1" applyAlignment="1">
      <alignment horizontal="left" vertical="center"/>
    </xf>
    <xf numFmtId="43" fontId="12" fillId="7" borderId="4" xfId="0" applyNumberFormat="1" applyFont="1" applyFill="1" applyBorder="1" applyAlignment="1">
      <alignment vertical="center"/>
    </xf>
    <xf numFmtId="43" fontId="12" fillId="7" borderId="12" xfId="0" applyNumberFormat="1" applyFont="1" applyFill="1" applyBorder="1" applyAlignment="1">
      <alignment vertical="center"/>
    </xf>
    <xf numFmtId="0" fontId="13" fillId="0" borderId="13" xfId="0" applyFont="1" applyBorder="1" applyAlignment="1">
      <alignment horizontal="left" vertical="center"/>
    </xf>
    <xf numFmtId="43" fontId="12" fillId="0" borderId="14" xfId="0" applyNumberFormat="1" applyFont="1" applyBorder="1" applyAlignment="1">
      <alignment vertical="center"/>
    </xf>
    <xf numFmtId="43" fontId="12" fillId="0" borderId="15" xfId="0" applyNumberFormat="1" applyFont="1" applyBorder="1" applyAlignment="1">
      <alignment vertical="center"/>
    </xf>
    <xf numFmtId="0" fontId="28" fillId="2" borderId="20" xfId="0" applyFont="1" applyFill="1" applyBorder="1" applyAlignment="1">
      <alignment horizontal="center" vertical="center"/>
    </xf>
    <xf numFmtId="0" fontId="28" fillId="2" borderId="24" xfId="0" applyFont="1" applyFill="1" applyBorder="1" applyAlignment="1">
      <alignment horizontal="center" vertical="center"/>
    </xf>
    <xf numFmtId="0" fontId="28" fillId="10" borderId="4" xfId="0" applyFont="1" applyFill="1" applyBorder="1" applyAlignment="1">
      <alignment horizontal="center" vertical="center"/>
    </xf>
    <xf numFmtId="0" fontId="28" fillId="10" borderId="12" xfId="0" applyFont="1" applyFill="1" applyBorder="1" applyAlignment="1">
      <alignment horizontal="center" vertical="center"/>
    </xf>
    <xf numFmtId="0" fontId="28" fillId="10" borderId="20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10</xdr:col>
      <xdr:colOff>216478</xdr:colOff>
      <xdr:row>14</xdr:row>
      <xdr:rowOff>142875</xdr:rowOff>
    </xdr:to>
    <xdr:pic>
      <xdr:nvPicPr>
        <xdr:cNvPr id="3882" name="Picture 1" descr="bankedgefb.jpg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7150"/>
          <a:ext cx="6457950" cy="2352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18:I25"/>
  <sheetViews>
    <sheetView showGridLines="0" tabSelected="1" zoomScale="55" zoomScaleNormal="55" workbookViewId="0">
      <selection activeCell="E39" sqref="E39"/>
    </sheetView>
  </sheetViews>
  <sheetFormatPr defaultRowHeight="12.75" x14ac:dyDescent="0.2"/>
  <cols>
    <col min="4" max="4" width="11" bestFit="1" customWidth="1"/>
  </cols>
  <sheetData>
    <row r="18" spans="3:9" ht="30" x14ac:dyDescent="0.4">
      <c r="C18" s="39" t="s">
        <v>49</v>
      </c>
    </row>
    <row r="21" spans="3:9" ht="20.25" x14ac:dyDescent="0.3">
      <c r="D21" s="99"/>
    </row>
    <row r="22" spans="3:9" ht="20.25" x14ac:dyDescent="0.3">
      <c r="C22" s="99" t="s">
        <v>88</v>
      </c>
      <c r="D22" s="99"/>
    </row>
    <row r="25" spans="3:9" x14ac:dyDescent="0.2">
      <c r="D25" s="142"/>
      <c r="E25" s="142"/>
      <c r="F25" s="142"/>
      <c r="G25" s="142"/>
      <c r="H25" s="142"/>
      <c r="I25" s="142"/>
    </row>
  </sheetData>
  <mergeCells count="1">
    <mergeCell ref="D25:I25"/>
  </mergeCells>
  <phoneticPr fontId="9" type="noConversion"/>
  <pageMargins left="0.2" right="0.19" top="1" bottom="1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I80"/>
  <sheetViews>
    <sheetView showGridLines="0" zoomScale="80" zoomScaleNormal="80" workbookViewId="0">
      <selection activeCell="C24" sqref="C24"/>
    </sheetView>
  </sheetViews>
  <sheetFormatPr defaultRowHeight="12.75" x14ac:dyDescent="0.2"/>
  <cols>
    <col min="1" max="1" width="3.42578125" bestFit="1" customWidth="1"/>
    <col min="2" max="2" width="69.85546875" bestFit="1" customWidth="1"/>
    <col min="3" max="3" width="14.28515625" style="10" bestFit="1" customWidth="1"/>
    <col min="4" max="4" width="17.28515625" style="10" bestFit="1" customWidth="1"/>
    <col min="5" max="8" width="16.42578125" style="10" bestFit="1" customWidth="1"/>
  </cols>
  <sheetData>
    <row r="1" spans="1:9" s="24" customFormat="1" ht="33" customHeight="1" x14ac:dyDescent="0.2">
      <c r="A1" s="144" t="s">
        <v>76</v>
      </c>
      <c r="B1" s="144"/>
      <c r="C1" s="144"/>
      <c r="D1" s="144"/>
      <c r="E1" s="144"/>
      <c r="F1" s="144"/>
      <c r="G1" s="144"/>
      <c r="H1" s="144"/>
    </row>
    <row r="2" spans="1:9" s="49" customFormat="1" ht="31.5" x14ac:dyDescent="0.2">
      <c r="A2" s="48"/>
      <c r="B2" s="16" t="s">
        <v>6</v>
      </c>
      <c r="C2" s="16" t="s">
        <v>14</v>
      </c>
      <c r="D2" s="17" t="s">
        <v>13</v>
      </c>
      <c r="E2" s="17" t="s">
        <v>12</v>
      </c>
      <c r="F2" s="17" t="s">
        <v>41</v>
      </c>
      <c r="G2" s="17" t="s">
        <v>42</v>
      </c>
      <c r="H2" s="17" t="s">
        <v>43</v>
      </c>
      <c r="I2" s="23"/>
    </row>
    <row r="3" spans="1:9" s="23" customFormat="1" ht="9.9499999999999993" customHeight="1" x14ac:dyDescent="0.2">
      <c r="A3" s="50"/>
      <c r="B3" s="51"/>
      <c r="C3" s="52"/>
      <c r="D3" s="52"/>
      <c r="E3" s="53"/>
      <c r="F3" s="52"/>
      <c r="G3" s="52"/>
      <c r="H3" s="52"/>
    </row>
    <row r="4" spans="1:9" s="23" customFormat="1" ht="25.5" customHeight="1" x14ac:dyDescent="0.2">
      <c r="A4" s="54" t="s">
        <v>7</v>
      </c>
      <c r="B4" s="55" t="s">
        <v>0</v>
      </c>
      <c r="C4" s="56"/>
      <c r="D4" s="56"/>
      <c r="E4" s="56"/>
      <c r="F4" s="57"/>
      <c r="G4" s="57"/>
      <c r="H4" s="57"/>
    </row>
    <row r="5" spans="1:9" s="23" customFormat="1" ht="25.5" customHeight="1" x14ac:dyDescent="0.2">
      <c r="A5" s="58">
        <v>1</v>
      </c>
      <c r="B5" s="59" t="s">
        <v>1</v>
      </c>
      <c r="C5" s="56">
        <v>10000</v>
      </c>
      <c r="D5" s="56">
        <f>C5</f>
        <v>10000</v>
      </c>
      <c r="E5" s="56">
        <f>D5*12</f>
        <v>120000</v>
      </c>
      <c r="F5" s="57">
        <f>E5</f>
        <v>120000</v>
      </c>
      <c r="G5" s="57">
        <f t="shared" ref="G5:H7" si="0">+F5*1.1</f>
        <v>132000</v>
      </c>
      <c r="H5" s="57">
        <f t="shared" si="0"/>
        <v>145200</v>
      </c>
    </row>
    <row r="6" spans="1:9" s="23" customFormat="1" ht="25.5" customHeight="1" x14ac:dyDescent="0.2">
      <c r="A6" s="58">
        <v>2</v>
      </c>
      <c r="B6" s="59" t="s">
        <v>34</v>
      </c>
      <c r="C6" s="56">
        <v>3000</v>
      </c>
      <c r="D6" s="56">
        <f>C6</f>
        <v>3000</v>
      </c>
      <c r="E6" s="56">
        <f>D6*12</f>
        <v>36000</v>
      </c>
      <c r="F6" s="57">
        <f>E6</f>
        <v>36000</v>
      </c>
      <c r="G6" s="57">
        <f t="shared" si="0"/>
        <v>39600</v>
      </c>
      <c r="H6" s="57">
        <f t="shared" si="0"/>
        <v>43560</v>
      </c>
    </row>
    <row r="7" spans="1:9" s="23" customFormat="1" ht="25.5" customHeight="1" x14ac:dyDescent="0.2">
      <c r="A7" s="58"/>
      <c r="B7" s="55" t="s">
        <v>2</v>
      </c>
      <c r="C7" s="56"/>
      <c r="D7" s="42">
        <f>D5+D6</f>
        <v>13000</v>
      </c>
      <c r="E7" s="42">
        <f>D7*12</f>
        <v>156000</v>
      </c>
      <c r="F7" s="60">
        <f>E7</f>
        <v>156000</v>
      </c>
      <c r="G7" s="60">
        <f t="shared" si="0"/>
        <v>171600</v>
      </c>
      <c r="H7" s="60">
        <f t="shared" si="0"/>
        <v>188760.00000000003</v>
      </c>
    </row>
    <row r="8" spans="1:9" s="23" customFormat="1" ht="9.9499999999999993" customHeight="1" x14ac:dyDescent="0.2">
      <c r="A8" s="50"/>
      <c r="B8" s="51"/>
      <c r="C8" s="61"/>
      <c r="D8" s="61"/>
      <c r="E8" s="62"/>
      <c r="F8" s="61"/>
      <c r="G8" s="61"/>
      <c r="H8" s="61"/>
    </row>
    <row r="9" spans="1:9" s="23" customFormat="1" ht="25.5" customHeight="1" x14ac:dyDescent="0.2">
      <c r="A9" s="54" t="s">
        <v>9</v>
      </c>
      <c r="B9" s="55" t="s">
        <v>36</v>
      </c>
      <c r="C9" s="56"/>
      <c r="D9" s="56"/>
      <c r="E9" s="56"/>
      <c r="F9" s="60" t="s">
        <v>17</v>
      </c>
      <c r="G9" s="60" t="s">
        <v>30</v>
      </c>
      <c r="H9" s="60" t="s">
        <v>31</v>
      </c>
    </row>
    <row r="10" spans="1:9" s="23" customFormat="1" ht="25.5" customHeight="1" x14ac:dyDescent="0.2">
      <c r="A10" s="58">
        <v>1</v>
      </c>
      <c r="B10" s="59" t="s">
        <v>90</v>
      </c>
      <c r="C10" s="56">
        <v>40000</v>
      </c>
      <c r="D10" s="56">
        <f>C10</f>
        <v>40000</v>
      </c>
      <c r="E10" s="56">
        <f>D10*12</f>
        <v>480000</v>
      </c>
      <c r="F10" s="57">
        <f>E10</f>
        <v>480000</v>
      </c>
      <c r="G10" s="57">
        <f>+F10*1.1</f>
        <v>528000</v>
      </c>
      <c r="H10" s="57">
        <f>+G10*1.1</f>
        <v>580800</v>
      </c>
    </row>
    <row r="11" spans="1:9" s="23" customFormat="1" ht="25.5" customHeight="1" x14ac:dyDescent="0.2">
      <c r="A11" s="58">
        <v>2</v>
      </c>
      <c r="B11" s="59" t="s">
        <v>37</v>
      </c>
      <c r="C11" s="56"/>
      <c r="D11" s="56">
        <v>0</v>
      </c>
      <c r="E11" s="56">
        <v>0</v>
      </c>
      <c r="F11" s="57">
        <f>E11</f>
        <v>0</v>
      </c>
      <c r="G11" s="57">
        <v>15000</v>
      </c>
      <c r="H11" s="57">
        <f>+G11*1.1</f>
        <v>16500</v>
      </c>
    </row>
    <row r="12" spans="1:9" s="23" customFormat="1" ht="25.5" customHeight="1" x14ac:dyDescent="0.2">
      <c r="A12" s="58">
        <v>3</v>
      </c>
      <c r="B12" s="59" t="s">
        <v>38</v>
      </c>
      <c r="C12" s="56"/>
      <c r="D12" s="56">
        <v>0</v>
      </c>
      <c r="E12" s="56">
        <v>0</v>
      </c>
      <c r="F12" s="57">
        <f>E12</f>
        <v>0</v>
      </c>
      <c r="G12" s="57">
        <v>15000</v>
      </c>
      <c r="H12" s="57">
        <f>+G12*1.1</f>
        <v>16500</v>
      </c>
    </row>
    <row r="13" spans="1:9" s="23" customFormat="1" ht="25.5" customHeight="1" x14ac:dyDescent="0.2">
      <c r="A13" s="58"/>
      <c r="B13" s="55" t="s">
        <v>39</v>
      </c>
      <c r="C13" s="56"/>
      <c r="D13" s="42">
        <f>D10+D11+D12</f>
        <v>40000</v>
      </c>
      <c r="E13" s="42">
        <f>E10+E11+E12</f>
        <v>480000</v>
      </c>
      <c r="F13" s="60">
        <f>E13</f>
        <v>480000</v>
      </c>
      <c r="G13" s="60">
        <f>G10+G11+G12*1.1</f>
        <v>559500</v>
      </c>
      <c r="H13" s="60">
        <f>+G13*1.1</f>
        <v>615450</v>
      </c>
    </row>
    <row r="14" spans="1:9" s="23" customFormat="1" ht="9.9499999999999993" customHeight="1" x14ac:dyDescent="0.2">
      <c r="A14" s="50"/>
      <c r="B14" s="51"/>
      <c r="C14" s="61"/>
      <c r="D14" s="61"/>
      <c r="E14" s="62"/>
      <c r="F14" s="61"/>
      <c r="G14" s="61"/>
      <c r="H14" s="61"/>
    </row>
    <row r="15" spans="1:9" s="23" customFormat="1" ht="25.5" customHeight="1" x14ac:dyDescent="0.2">
      <c r="A15" s="54" t="s">
        <v>35</v>
      </c>
      <c r="B15" s="55" t="s">
        <v>8</v>
      </c>
      <c r="C15" s="42"/>
      <c r="D15" s="56"/>
      <c r="E15" s="56"/>
      <c r="F15" s="60" t="s">
        <v>17</v>
      </c>
      <c r="G15" s="60" t="s">
        <v>30</v>
      </c>
      <c r="H15" s="60" t="s">
        <v>31</v>
      </c>
    </row>
    <row r="16" spans="1:9" s="23" customFormat="1" ht="25.5" customHeight="1" x14ac:dyDescent="0.2">
      <c r="A16" s="58">
        <v>1</v>
      </c>
      <c r="B16" s="59" t="s">
        <v>172</v>
      </c>
      <c r="C16" s="56">
        <v>25000</v>
      </c>
      <c r="D16" s="56">
        <f>1*C16</f>
        <v>25000</v>
      </c>
      <c r="E16" s="56">
        <f t="shared" ref="E16:E20" si="1">D16*12</f>
        <v>300000</v>
      </c>
      <c r="F16" s="57">
        <f t="shared" ref="F16:F20" si="2">E16</f>
        <v>300000</v>
      </c>
      <c r="G16" s="57">
        <f t="shared" ref="G16:H19" si="3">+F16*1.1</f>
        <v>330000</v>
      </c>
      <c r="H16" s="57">
        <f t="shared" si="3"/>
        <v>363000.00000000006</v>
      </c>
    </row>
    <row r="17" spans="1:8" s="23" customFormat="1" ht="25.5" customHeight="1" x14ac:dyDescent="0.2">
      <c r="A17" s="58">
        <v>2</v>
      </c>
      <c r="B17" s="59" t="s">
        <v>144</v>
      </c>
      <c r="C17" s="56">
        <v>15000</v>
      </c>
      <c r="D17" s="56">
        <f>2*C17</f>
        <v>30000</v>
      </c>
      <c r="E17" s="56">
        <f t="shared" si="1"/>
        <v>360000</v>
      </c>
      <c r="F17" s="57">
        <f t="shared" si="2"/>
        <v>360000</v>
      </c>
      <c r="G17" s="57">
        <f t="shared" si="3"/>
        <v>396000.00000000006</v>
      </c>
      <c r="H17" s="57">
        <f t="shared" si="3"/>
        <v>435600.00000000012</v>
      </c>
    </row>
    <row r="18" spans="1:8" s="23" customFormat="1" ht="25.5" customHeight="1" x14ac:dyDescent="0.2">
      <c r="A18" s="58">
        <v>1</v>
      </c>
      <c r="B18" s="59" t="s">
        <v>145</v>
      </c>
      <c r="C18" s="56">
        <v>20000</v>
      </c>
      <c r="D18" s="56">
        <f>C18*1</f>
        <v>20000</v>
      </c>
      <c r="E18" s="56">
        <f t="shared" ref="E18" si="4">D18*12</f>
        <v>240000</v>
      </c>
      <c r="F18" s="57">
        <f t="shared" ref="F18" si="5">E18</f>
        <v>240000</v>
      </c>
      <c r="G18" s="57">
        <f t="shared" ref="G18" si="6">+F18*1.1</f>
        <v>264000</v>
      </c>
      <c r="H18" s="57">
        <f t="shared" ref="H18" si="7">+G18*1.1</f>
        <v>290400</v>
      </c>
    </row>
    <row r="19" spans="1:8" s="23" customFormat="1" ht="25.5" customHeight="1" x14ac:dyDescent="0.2">
      <c r="A19" s="58">
        <v>5</v>
      </c>
      <c r="B19" s="59" t="s">
        <v>91</v>
      </c>
      <c r="C19" s="56">
        <v>12500</v>
      </c>
      <c r="D19" s="56">
        <f>2*C19</f>
        <v>25000</v>
      </c>
      <c r="E19" s="56">
        <f t="shared" si="1"/>
        <v>300000</v>
      </c>
      <c r="F19" s="57">
        <f t="shared" si="2"/>
        <v>300000</v>
      </c>
      <c r="G19" s="57">
        <f t="shared" si="3"/>
        <v>330000</v>
      </c>
      <c r="H19" s="57">
        <f t="shared" si="3"/>
        <v>363000.00000000006</v>
      </c>
    </row>
    <row r="20" spans="1:8" s="23" customFormat="1" ht="25.5" customHeight="1" x14ac:dyDescent="0.2">
      <c r="A20" s="58"/>
      <c r="B20" s="55" t="s">
        <v>3</v>
      </c>
      <c r="C20" s="56"/>
      <c r="D20" s="42">
        <f>SUM(D16:D19)</f>
        <v>100000</v>
      </c>
      <c r="E20" s="42">
        <f t="shared" si="1"/>
        <v>1200000</v>
      </c>
      <c r="F20" s="60">
        <f t="shared" si="2"/>
        <v>1200000</v>
      </c>
      <c r="G20" s="60">
        <f>+F20*1.1</f>
        <v>1320000</v>
      </c>
      <c r="H20" s="60">
        <f>+G20*1.1</f>
        <v>1452000.0000000002</v>
      </c>
    </row>
    <row r="21" spans="1:8" s="23" customFormat="1" ht="9.9499999999999993" customHeight="1" x14ac:dyDescent="0.2">
      <c r="A21" s="50"/>
      <c r="B21" s="51"/>
      <c r="C21" s="61"/>
      <c r="D21" s="61"/>
      <c r="E21" s="62"/>
      <c r="F21" s="61"/>
      <c r="G21" s="61"/>
      <c r="H21" s="61"/>
    </row>
    <row r="22" spans="1:8" s="23" customFormat="1" ht="25.5" customHeight="1" x14ac:dyDescent="0.2">
      <c r="A22" s="54" t="s">
        <v>48</v>
      </c>
      <c r="B22" s="55" t="s">
        <v>10</v>
      </c>
      <c r="C22" s="56"/>
      <c r="D22" s="42"/>
      <c r="E22" s="56"/>
      <c r="F22" s="60" t="s">
        <v>17</v>
      </c>
      <c r="G22" s="60" t="s">
        <v>30</v>
      </c>
      <c r="H22" s="60" t="s">
        <v>31</v>
      </c>
    </row>
    <row r="23" spans="1:8" s="23" customFormat="1" ht="25.5" customHeight="1" x14ac:dyDescent="0.2">
      <c r="A23" s="58">
        <v>1</v>
      </c>
      <c r="B23" s="59" t="s">
        <v>61</v>
      </c>
      <c r="C23" s="56">
        <v>20000</v>
      </c>
      <c r="D23" s="56">
        <f>C23</f>
        <v>20000</v>
      </c>
      <c r="E23" s="56">
        <f>$C23*12</f>
        <v>240000</v>
      </c>
      <c r="F23" s="57">
        <f>E23</f>
        <v>240000</v>
      </c>
      <c r="G23" s="57">
        <f>+F23*1.1</f>
        <v>264000</v>
      </c>
      <c r="H23" s="57">
        <f>+G23*1.1</f>
        <v>290400</v>
      </c>
    </row>
    <row r="24" spans="1:8" s="23" customFormat="1" ht="25.5" customHeight="1" x14ac:dyDescent="0.2">
      <c r="A24" s="58">
        <v>2</v>
      </c>
      <c r="B24" s="59" t="s">
        <v>54</v>
      </c>
      <c r="C24" s="56">
        <v>5000</v>
      </c>
      <c r="D24" s="56">
        <f>C24</f>
        <v>5000</v>
      </c>
      <c r="E24" s="56">
        <f>$C24*12</f>
        <v>60000</v>
      </c>
      <c r="F24" s="57">
        <f>E24</f>
        <v>60000</v>
      </c>
      <c r="G24" s="57">
        <f>+F24*1.1</f>
        <v>66000</v>
      </c>
      <c r="H24" s="57">
        <f>+G24*1.1</f>
        <v>72600</v>
      </c>
    </row>
    <row r="25" spans="1:8" s="23" customFormat="1" ht="25.5" customHeight="1" x14ac:dyDescent="0.2">
      <c r="A25" s="58"/>
      <c r="B25" s="55" t="s">
        <v>11</v>
      </c>
      <c r="C25" s="56"/>
      <c r="D25" s="42">
        <f>SUM(D23:D24)</f>
        <v>25000</v>
      </c>
      <c r="E25" s="42">
        <f>SUM(E23:E24)</f>
        <v>300000</v>
      </c>
      <c r="F25" s="42">
        <f>SUM(F23:F24)</f>
        <v>300000</v>
      </c>
      <c r="G25" s="42">
        <f>SUM(G23:G24)</f>
        <v>330000</v>
      </c>
      <c r="H25" s="42">
        <f>SUM(H23:H24)</f>
        <v>363000</v>
      </c>
    </row>
    <row r="26" spans="1:8" s="23" customFormat="1" ht="9.9499999999999993" customHeight="1" x14ac:dyDescent="0.2">
      <c r="A26" s="50"/>
      <c r="B26" s="51"/>
      <c r="C26" s="61"/>
      <c r="D26" s="61"/>
      <c r="E26" s="62"/>
      <c r="F26" s="61"/>
      <c r="G26" s="61"/>
      <c r="H26" s="61"/>
    </row>
    <row r="27" spans="1:8" s="23" customFormat="1" ht="36" customHeight="1" x14ac:dyDescent="0.2">
      <c r="A27" s="63"/>
      <c r="B27" s="64" t="s">
        <v>29</v>
      </c>
      <c r="C27" s="65"/>
      <c r="D27" s="46">
        <f>SUM(D25,D20,D7,D13)</f>
        <v>178000</v>
      </c>
      <c r="E27" s="46">
        <f>SUM(E25,E20,E7,E13)</f>
        <v>2136000</v>
      </c>
      <c r="F27" s="46">
        <f>SUM(F25,F20,F7,F13)</f>
        <v>2136000</v>
      </c>
      <c r="G27" s="46">
        <f>SUM(G25,G20,G7,G13)</f>
        <v>2381100</v>
      </c>
      <c r="H27" s="46">
        <f>SUM(H25,H20,H7,H13)</f>
        <v>2619210</v>
      </c>
    </row>
    <row r="28" spans="1:8" x14ac:dyDescent="0.2">
      <c r="A28" s="4"/>
    </row>
    <row r="29" spans="1:8" x14ac:dyDescent="0.2">
      <c r="A29" s="4"/>
    </row>
    <row r="30" spans="1:8" x14ac:dyDescent="0.2">
      <c r="A30" s="4"/>
    </row>
    <row r="31" spans="1:8" x14ac:dyDescent="0.2">
      <c r="A31" s="4"/>
    </row>
    <row r="32" spans="1:8" x14ac:dyDescent="0.2">
      <c r="A32" s="4"/>
      <c r="B32" s="79" t="s">
        <v>77</v>
      </c>
    </row>
    <row r="33" spans="1:2" x14ac:dyDescent="0.2">
      <c r="A33" s="4"/>
      <c r="B33" s="78" t="s">
        <v>60</v>
      </c>
    </row>
    <row r="34" spans="1:2" x14ac:dyDescent="0.2">
      <c r="A34" s="4"/>
      <c r="B34" s="78" t="s">
        <v>26</v>
      </c>
    </row>
    <row r="35" spans="1:2" x14ac:dyDescent="0.2">
      <c r="A35" s="4"/>
    </row>
    <row r="36" spans="1:2" x14ac:dyDescent="0.2">
      <c r="A36" s="4"/>
    </row>
    <row r="37" spans="1:2" x14ac:dyDescent="0.2">
      <c r="A37" s="4"/>
    </row>
    <row r="38" spans="1:2" x14ac:dyDescent="0.2">
      <c r="A38" s="4"/>
    </row>
    <row r="39" spans="1:2" x14ac:dyDescent="0.2">
      <c r="A39" s="4"/>
    </row>
    <row r="40" spans="1:2" x14ac:dyDescent="0.2">
      <c r="A40" s="4"/>
    </row>
    <row r="41" spans="1:2" x14ac:dyDescent="0.2">
      <c r="A41" s="4"/>
    </row>
    <row r="42" spans="1:2" x14ac:dyDescent="0.2">
      <c r="A42" s="4"/>
    </row>
    <row r="43" spans="1:2" x14ac:dyDescent="0.2">
      <c r="A43" s="4"/>
    </row>
    <row r="44" spans="1:2" x14ac:dyDescent="0.2">
      <c r="A44" s="4"/>
    </row>
    <row r="45" spans="1:2" x14ac:dyDescent="0.2">
      <c r="A45" s="4"/>
    </row>
    <row r="46" spans="1:2" x14ac:dyDescent="0.2">
      <c r="A46" s="4"/>
    </row>
    <row r="47" spans="1:2" x14ac:dyDescent="0.2">
      <c r="A47" s="4"/>
    </row>
    <row r="48" spans="1:2" x14ac:dyDescent="0.2">
      <c r="A48" s="4"/>
    </row>
    <row r="49" spans="1:1" x14ac:dyDescent="0.2">
      <c r="A49" s="4"/>
    </row>
    <row r="50" spans="1:1" x14ac:dyDescent="0.2">
      <c r="A50" s="4"/>
    </row>
    <row r="51" spans="1:1" x14ac:dyDescent="0.2">
      <c r="A51" s="4"/>
    </row>
    <row r="52" spans="1:1" x14ac:dyDescent="0.2">
      <c r="A52" s="4"/>
    </row>
    <row r="53" spans="1:1" x14ac:dyDescent="0.2">
      <c r="A53" s="4"/>
    </row>
    <row r="54" spans="1:1" x14ac:dyDescent="0.2">
      <c r="A54" s="4"/>
    </row>
    <row r="55" spans="1:1" x14ac:dyDescent="0.2">
      <c r="A55" s="4"/>
    </row>
    <row r="56" spans="1:1" x14ac:dyDescent="0.2">
      <c r="A56" s="4"/>
    </row>
    <row r="57" spans="1:1" x14ac:dyDescent="0.2">
      <c r="A57" s="4"/>
    </row>
    <row r="58" spans="1:1" x14ac:dyDescent="0.2">
      <c r="A58" s="4"/>
    </row>
    <row r="59" spans="1:1" x14ac:dyDescent="0.2">
      <c r="A59" s="4"/>
    </row>
    <row r="60" spans="1:1" x14ac:dyDescent="0.2">
      <c r="A60" s="4"/>
    </row>
    <row r="61" spans="1:1" x14ac:dyDescent="0.2">
      <c r="A61" s="4"/>
    </row>
    <row r="62" spans="1:1" x14ac:dyDescent="0.2">
      <c r="A62" s="4"/>
    </row>
    <row r="63" spans="1:1" x14ac:dyDescent="0.2">
      <c r="A63" s="4"/>
    </row>
    <row r="64" spans="1:1" x14ac:dyDescent="0.2">
      <c r="A64" s="4"/>
    </row>
    <row r="65" spans="1:1" x14ac:dyDescent="0.2">
      <c r="A65" s="4"/>
    </row>
    <row r="66" spans="1:1" x14ac:dyDescent="0.2">
      <c r="A66" s="4"/>
    </row>
    <row r="67" spans="1:1" x14ac:dyDescent="0.2">
      <c r="A67" s="4"/>
    </row>
    <row r="68" spans="1:1" x14ac:dyDescent="0.2">
      <c r="A68" s="4"/>
    </row>
    <row r="69" spans="1:1" x14ac:dyDescent="0.2">
      <c r="A69" s="4"/>
    </row>
    <row r="70" spans="1:1" x14ac:dyDescent="0.2">
      <c r="A70" s="4"/>
    </row>
    <row r="71" spans="1:1" x14ac:dyDescent="0.2">
      <c r="A71" s="4"/>
    </row>
    <row r="72" spans="1:1" x14ac:dyDescent="0.2">
      <c r="A72" s="4"/>
    </row>
    <row r="73" spans="1:1" x14ac:dyDescent="0.2">
      <c r="A73" s="4"/>
    </row>
    <row r="74" spans="1:1" x14ac:dyDescent="0.2">
      <c r="A74" s="4"/>
    </row>
    <row r="75" spans="1:1" x14ac:dyDescent="0.2">
      <c r="A75" s="4"/>
    </row>
    <row r="76" spans="1:1" x14ac:dyDescent="0.2">
      <c r="A76" s="4"/>
    </row>
    <row r="77" spans="1:1" x14ac:dyDescent="0.2">
      <c r="A77" s="4"/>
    </row>
    <row r="78" spans="1:1" x14ac:dyDescent="0.2">
      <c r="A78" s="4"/>
    </row>
    <row r="79" spans="1:1" x14ac:dyDescent="0.2">
      <c r="A79" s="4"/>
    </row>
    <row r="80" spans="1:1" x14ac:dyDescent="0.2">
      <c r="A80" s="4"/>
    </row>
  </sheetData>
  <mergeCells count="1">
    <mergeCell ref="A1:H1"/>
  </mergeCells>
  <phoneticPr fontId="0" type="noConversion"/>
  <printOptions horizontalCentered="1" verticalCentered="1"/>
  <pageMargins left="0.25" right="0.25" top="0.27" bottom="0.2" header="0.47" footer="0.2"/>
  <pageSetup scale="76" orientation="landscape" r:id="rId1"/>
  <headerFooter alignWithMargins="0"/>
  <ignoredErrors>
    <ignoredError sqref="E23:E24 E5:E6 E1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K15"/>
  <sheetViews>
    <sheetView showGridLines="0" zoomScaleNormal="100" workbookViewId="0">
      <selection activeCell="B6" sqref="B6"/>
    </sheetView>
  </sheetViews>
  <sheetFormatPr defaultRowHeight="12.75" x14ac:dyDescent="0.2"/>
  <cols>
    <col min="1" max="1" width="3.42578125" style="10" bestFit="1" customWidth="1"/>
    <col min="2" max="2" width="42.85546875" bestFit="1" customWidth="1"/>
    <col min="3" max="3" width="3.7109375" style="10" customWidth="1"/>
    <col min="4" max="4" width="16.42578125" style="10" bestFit="1" customWidth="1"/>
    <col min="5" max="6" width="16.42578125" bestFit="1" customWidth="1"/>
    <col min="7" max="7" width="9.85546875" customWidth="1"/>
    <col min="8" max="8" width="12" customWidth="1"/>
  </cols>
  <sheetData>
    <row r="1" spans="1:11" s="24" customFormat="1" ht="25.5" customHeight="1" thickBot="1" x14ac:dyDescent="0.3">
      <c r="A1" s="145" t="s">
        <v>76</v>
      </c>
      <c r="B1" s="145"/>
      <c r="C1" s="145"/>
      <c r="D1" s="145"/>
      <c r="E1" s="145"/>
      <c r="F1" s="145"/>
      <c r="G1" s="30"/>
      <c r="H1" s="30"/>
    </row>
    <row r="2" spans="1:11" ht="24" customHeight="1" thickBot="1" x14ac:dyDescent="0.3">
      <c r="A2" s="14"/>
      <c r="B2" s="12" t="s">
        <v>16</v>
      </c>
      <c r="C2" s="11"/>
      <c r="D2" s="11" t="s">
        <v>15</v>
      </c>
      <c r="E2" s="11" t="s">
        <v>32</v>
      </c>
      <c r="F2" s="11" t="s">
        <v>33</v>
      </c>
      <c r="G2" s="5"/>
      <c r="H2" s="2"/>
      <c r="I2" s="2"/>
      <c r="J2" s="2"/>
      <c r="K2" s="2"/>
    </row>
    <row r="3" spans="1:11" ht="30.75" customHeight="1" x14ac:dyDescent="0.2">
      <c r="A3" s="40">
        <v>1</v>
      </c>
      <c r="B3" s="28" t="s">
        <v>22</v>
      </c>
      <c r="C3" s="41"/>
      <c r="D3" s="56">
        <f>+'Operating Expenses'!F25</f>
        <v>300000</v>
      </c>
      <c r="E3" s="56">
        <f>+'Operating Expenses'!G25</f>
        <v>330000</v>
      </c>
      <c r="F3" s="56">
        <f>+'Operating Expenses'!H25</f>
        <v>363000</v>
      </c>
      <c r="G3" s="5"/>
      <c r="H3" s="2"/>
      <c r="I3" s="2"/>
      <c r="J3" s="2"/>
      <c r="K3" s="2"/>
    </row>
    <row r="4" spans="1:11" ht="30.75" customHeight="1" x14ac:dyDescent="0.2">
      <c r="A4" s="40">
        <v>2</v>
      </c>
      <c r="B4" s="28" t="s">
        <v>23</v>
      </c>
      <c r="C4" s="43"/>
      <c r="D4" s="56">
        <f>+'Operating Expenses'!F20</f>
        <v>1200000</v>
      </c>
      <c r="E4" s="56">
        <f>+'Operating Expenses'!G20</f>
        <v>1320000</v>
      </c>
      <c r="F4" s="56">
        <f>+'Operating Expenses'!H20</f>
        <v>1452000.0000000002</v>
      </c>
      <c r="G4" s="5"/>
      <c r="H4" s="2"/>
      <c r="I4" s="2"/>
      <c r="J4" s="2"/>
      <c r="K4" s="2"/>
    </row>
    <row r="5" spans="1:11" ht="30.75" customHeight="1" x14ac:dyDescent="0.2">
      <c r="A5" s="40">
        <v>3</v>
      </c>
      <c r="B5" s="28" t="s">
        <v>24</v>
      </c>
      <c r="C5" s="43"/>
      <c r="D5" s="56">
        <f>'Operating Expenses'!$F7</f>
        <v>156000</v>
      </c>
      <c r="E5" s="56">
        <f>'Operating Expenses'!$G7</f>
        <v>171600</v>
      </c>
      <c r="F5" s="56">
        <f>'Operating Expenses'!$H7</f>
        <v>188760.00000000003</v>
      </c>
      <c r="G5" s="5"/>
      <c r="H5" s="2"/>
      <c r="I5" s="2"/>
      <c r="J5" s="2"/>
      <c r="K5" s="2"/>
    </row>
    <row r="6" spans="1:11" ht="30.75" customHeight="1" x14ac:dyDescent="0.2">
      <c r="A6" s="40">
        <v>4</v>
      </c>
      <c r="B6" s="28" t="s">
        <v>40</v>
      </c>
      <c r="C6" s="43"/>
      <c r="D6" s="56">
        <f>'Operating Expenses'!F13</f>
        <v>480000</v>
      </c>
      <c r="E6" s="56">
        <f>'Operating Expenses'!G13</f>
        <v>559500</v>
      </c>
      <c r="F6" s="56">
        <f>'Operating Expenses'!H13</f>
        <v>615450</v>
      </c>
      <c r="G6" s="5"/>
      <c r="H6" s="2"/>
      <c r="I6" s="2"/>
      <c r="J6" s="2"/>
      <c r="K6" s="2"/>
    </row>
    <row r="7" spans="1:11" ht="30.75" customHeight="1" x14ac:dyDescent="0.2">
      <c r="A7" s="40"/>
      <c r="B7" s="28"/>
      <c r="C7" s="43"/>
      <c r="D7" s="42"/>
      <c r="E7" s="42"/>
      <c r="F7" s="29"/>
      <c r="G7" s="5"/>
      <c r="H7" s="2"/>
      <c r="I7" s="2"/>
      <c r="J7" s="2"/>
      <c r="K7" s="2"/>
    </row>
    <row r="8" spans="1:11" ht="30.75" customHeight="1" x14ac:dyDescent="0.2">
      <c r="A8" s="40"/>
      <c r="B8" s="44" t="s">
        <v>28</v>
      </c>
      <c r="C8" s="45"/>
      <c r="D8" s="46">
        <f>SUM(D3:D7)</f>
        <v>2136000</v>
      </c>
      <c r="E8" s="46">
        <f>SUM(E3:E7)</f>
        <v>2381100</v>
      </c>
      <c r="F8" s="47">
        <f>SUM(F3:F7)</f>
        <v>2619210</v>
      </c>
      <c r="G8" s="5"/>
      <c r="H8" s="2"/>
      <c r="I8" s="2"/>
      <c r="J8" s="2"/>
      <c r="K8" s="2"/>
    </row>
    <row r="9" spans="1:11" ht="30.75" customHeight="1" thickBot="1" x14ac:dyDescent="0.3">
      <c r="A9" s="14"/>
      <c r="B9" s="8"/>
      <c r="C9" s="1"/>
      <c r="D9" s="1"/>
      <c r="E9" s="1"/>
      <c r="F9" s="7"/>
      <c r="G9" s="5"/>
      <c r="H9" s="2"/>
      <c r="I9" s="2"/>
      <c r="J9" s="2"/>
      <c r="K9" s="2"/>
    </row>
    <row r="10" spans="1:11" ht="30.75" customHeight="1" x14ac:dyDescent="0.2">
      <c r="A10" s="9"/>
      <c r="B10" s="3"/>
      <c r="C10" s="9"/>
      <c r="D10" s="9"/>
      <c r="E10" s="3"/>
      <c r="F10" s="3"/>
      <c r="G10" s="6"/>
      <c r="H10" s="2"/>
      <c r="I10" s="2"/>
      <c r="J10" s="2"/>
      <c r="K10" s="2"/>
    </row>
    <row r="11" spans="1:11" x14ac:dyDescent="0.2">
      <c r="G11" s="3"/>
    </row>
    <row r="13" spans="1:11" ht="18" x14ac:dyDescent="0.25">
      <c r="A13" s="13"/>
      <c r="B13" s="79" t="s">
        <v>77</v>
      </c>
    </row>
    <row r="14" spans="1:11" ht="18" x14ac:dyDescent="0.25">
      <c r="A14" s="13"/>
      <c r="B14" s="78" t="s">
        <v>60</v>
      </c>
    </row>
    <row r="15" spans="1:11" ht="18" x14ac:dyDescent="0.25">
      <c r="A15" s="15"/>
      <c r="B15" s="78" t="s">
        <v>26</v>
      </c>
    </row>
  </sheetData>
  <mergeCells count="1">
    <mergeCell ref="A1:F1"/>
  </mergeCells>
  <phoneticPr fontId="0" type="noConversion"/>
  <printOptions horizontalCentered="1" verticalCentered="1"/>
  <pageMargins left="0.25" right="0.25" top="0.27" bottom="0.2" header="0.47" footer="0.2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L43"/>
  <sheetViews>
    <sheetView showGridLines="0" zoomScale="70" zoomScaleNormal="70" workbookViewId="0">
      <selection activeCell="B13" sqref="B13"/>
    </sheetView>
  </sheetViews>
  <sheetFormatPr defaultColWidth="9.140625" defaultRowHeight="15" x14ac:dyDescent="0.2"/>
  <cols>
    <col min="1" max="1" width="3.42578125" style="21" bestFit="1" customWidth="1"/>
    <col min="2" max="2" width="78.28515625" style="21" bestFit="1" customWidth="1"/>
    <col min="3" max="3" width="18.85546875" style="21" bestFit="1" customWidth="1"/>
    <col min="4" max="4" width="7" style="21" customWidth="1"/>
    <col min="5" max="5" width="32.42578125" style="21" customWidth="1"/>
    <col min="6" max="6" width="17.5703125" style="21" bestFit="1" customWidth="1"/>
    <col min="7" max="7" width="22.42578125" style="21" bestFit="1" customWidth="1"/>
    <col min="8" max="8" width="21.140625" style="21" bestFit="1" customWidth="1"/>
    <col min="9" max="9" width="20.140625" style="21" bestFit="1" customWidth="1"/>
    <col min="10" max="10" width="20" style="21" customWidth="1"/>
    <col min="11" max="11" width="19.7109375" style="21" customWidth="1"/>
    <col min="12" max="12" width="18.7109375" style="21" customWidth="1"/>
    <col min="13" max="16384" width="9.140625" style="21"/>
  </cols>
  <sheetData>
    <row r="1" spans="1:12" s="94" customFormat="1" ht="28.5" customHeight="1" x14ac:dyDescent="0.2">
      <c r="A1" s="143" t="s">
        <v>76</v>
      </c>
      <c r="B1" s="143"/>
      <c r="C1" s="143"/>
      <c r="D1" s="143"/>
      <c r="E1" s="143"/>
      <c r="F1" s="143"/>
      <c r="G1" s="143"/>
      <c r="H1" s="143"/>
      <c r="I1" s="143"/>
    </row>
    <row r="2" spans="1:12" ht="22.5" customHeight="1" x14ac:dyDescent="0.2">
      <c r="A2" s="152" t="s">
        <v>18</v>
      </c>
      <c r="B2" s="153"/>
      <c r="C2" s="153"/>
      <c r="D2" s="153"/>
      <c r="E2" s="153"/>
      <c r="F2" s="153"/>
      <c r="G2" s="153"/>
      <c r="H2" s="153"/>
      <c r="I2" s="153"/>
    </row>
    <row r="3" spans="1:12" ht="15.75" thickBot="1" x14ac:dyDescent="0.25">
      <c r="A3" s="20"/>
      <c r="B3" s="20"/>
      <c r="C3" s="20"/>
      <c r="D3" s="20"/>
      <c r="E3" s="20"/>
      <c r="F3" s="20"/>
    </row>
    <row r="4" spans="1:12" ht="24.95" customHeight="1" thickBot="1" x14ac:dyDescent="0.25">
      <c r="A4" s="20"/>
      <c r="B4" s="106" t="s">
        <v>79</v>
      </c>
      <c r="C4" s="25">
        <f>I14</f>
        <v>1700</v>
      </c>
      <c r="D4" s="20"/>
      <c r="E4" s="32" t="s">
        <v>59</v>
      </c>
      <c r="F4" s="115" t="s">
        <v>146</v>
      </c>
      <c r="G4" s="34" t="s">
        <v>55</v>
      </c>
      <c r="H4" s="33" t="s">
        <v>57</v>
      </c>
      <c r="I4" s="33" t="s">
        <v>56</v>
      </c>
      <c r="J4" s="33" t="s">
        <v>58</v>
      </c>
      <c r="K4" s="33" t="s">
        <v>147</v>
      </c>
      <c r="L4" s="33" t="s">
        <v>148</v>
      </c>
    </row>
    <row r="5" spans="1:12" ht="24.95" customHeight="1" x14ac:dyDescent="0.2">
      <c r="A5" s="20"/>
      <c r="B5" s="107" t="s">
        <v>50</v>
      </c>
      <c r="C5" s="128">
        <f>I19</f>
        <v>40500000</v>
      </c>
      <c r="D5" s="20"/>
      <c r="E5" s="35" t="s">
        <v>149</v>
      </c>
      <c r="F5" s="116">
        <v>20</v>
      </c>
      <c r="G5" s="36">
        <v>20</v>
      </c>
      <c r="H5" s="36">
        <v>20</v>
      </c>
      <c r="I5" s="36">
        <v>20</v>
      </c>
      <c r="J5" s="36">
        <v>20</v>
      </c>
      <c r="K5" s="36">
        <v>20</v>
      </c>
      <c r="L5" s="36">
        <v>20</v>
      </c>
    </row>
    <row r="6" spans="1:12" ht="24.95" customHeight="1" x14ac:dyDescent="0.2">
      <c r="A6" s="20"/>
      <c r="B6" s="77" t="s">
        <v>86</v>
      </c>
      <c r="C6" s="29">
        <f>C5/2</f>
        <v>20250000</v>
      </c>
      <c r="D6" s="20"/>
      <c r="E6" s="80" t="s">
        <v>150</v>
      </c>
      <c r="F6" s="117">
        <v>20</v>
      </c>
      <c r="G6" s="38">
        <v>20</v>
      </c>
      <c r="H6" s="38">
        <v>20</v>
      </c>
      <c r="I6" s="38">
        <v>20</v>
      </c>
      <c r="J6" s="38">
        <v>20</v>
      </c>
      <c r="K6" s="38">
        <v>20</v>
      </c>
      <c r="L6" s="38">
        <v>20</v>
      </c>
    </row>
    <row r="7" spans="1:12" ht="24.95" customHeight="1" thickBot="1" x14ac:dyDescent="0.25">
      <c r="A7" s="20"/>
      <c r="B7" s="108" t="s">
        <v>87</v>
      </c>
      <c r="C7" s="105">
        <f>C5/2</f>
        <v>20250000</v>
      </c>
      <c r="E7" s="81" t="s">
        <v>151</v>
      </c>
      <c r="F7" s="154">
        <v>20</v>
      </c>
      <c r="G7" s="155"/>
      <c r="H7" s="156"/>
      <c r="I7" s="154">
        <v>20</v>
      </c>
      <c r="J7" s="155"/>
      <c r="K7" s="155"/>
      <c r="L7" s="156"/>
    </row>
    <row r="8" spans="1:12" ht="24.95" customHeight="1" thickBot="1" x14ac:dyDescent="0.25">
      <c r="A8" s="20"/>
    </row>
    <row r="9" spans="1:12" ht="24.95" customHeight="1" x14ac:dyDescent="0.2">
      <c r="A9" s="20"/>
      <c r="B9" s="109" t="s">
        <v>176</v>
      </c>
      <c r="C9" s="110">
        <f>C4*0.15</f>
        <v>255</v>
      </c>
      <c r="E9" s="83" t="s">
        <v>160</v>
      </c>
      <c r="F9" s="84">
        <v>32</v>
      </c>
      <c r="G9" s="84" t="s">
        <v>152</v>
      </c>
      <c r="H9" s="84">
        <v>20</v>
      </c>
      <c r="I9" s="84" t="s">
        <v>161</v>
      </c>
      <c r="J9" s="84">
        <v>2</v>
      </c>
      <c r="K9" s="96"/>
    </row>
    <row r="10" spans="1:12" ht="29.25" customHeight="1" thickBot="1" x14ac:dyDescent="0.25">
      <c r="A10" s="20"/>
      <c r="B10" s="111" t="s">
        <v>177</v>
      </c>
      <c r="C10" s="129">
        <f>C9/12</f>
        <v>21.25</v>
      </c>
      <c r="E10" s="120" t="s">
        <v>154</v>
      </c>
      <c r="F10" s="118">
        <v>15</v>
      </c>
      <c r="G10" s="118" t="s">
        <v>153</v>
      </c>
      <c r="H10" s="118">
        <f>F10*H9</f>
        <v>300</v>
      </c>
      <c r="I10" s="118" t="s">
        <v>158</v>
      </c>
      <c r="J10" s="118">
        <v>4</v>
      </c>
      <c r="K10" s="119">
        <f>H10*J10</f>
        <v>1200</v>
      </c>
    </row>
    <row r="11" spans="1:12" ht="30.75" customHeight="1" x14ac:dyDescent="0.2">
      <c r="A11" s="20"/>
      <c r="E11" s="120" t="s">
        <v>155</v>
      </c>
      <c r="F11" s="118">
        <v>10</v>
      </c>
      <c r="G11" s="118" t="s">
        <v>156</v>
      </c>
      <c r="H11" s="118">
        <f>F11*H9</f>
        <v>200</v>
      </c>
      <c r="I11" s="118" t="s">
        <v>159</v>
      </c>
      <c r="J11" s="118">
        <v>2</v>
      </c>
      <c r="K11" s="119">
        <f>H11*J11</f>
        <v>400</v>
      </c>
    </row>
    <row r="12" spans="1:12" ht="24.95" customHeight="1" x14ac:dyDescent="0.25">
      <c r="A12" s="20"/>
      <c r="D12" s="22"/>
      <c r="E12" s="120" t="s">
        <v>157</v>
      </c>
      <c r="F12" s="118">
        <v>5</v>
      </c>
      <c r="G12" s="118" t="s">
        <v>156</v>
      </c>
      <c r="H12" s="118">
        <f>F12*H9</f>
        <v>100</v>
      </c>
      <c r="I12" s="118" t="s">
        <v>158</v>
      </c>
      <c r="J12" s="118">
        <v>1</v>
      </c>
      <c r="K12" s="119">
        <f>H12*J12</f>
        <v>100</v>
      </c>
    </row>
    <row r="13" spans="1:12" s="94" customFormat="1" ht="31.9" customHeight="1" thickBot="1" x14ac:dyDescent="0.25">
      <c r="A13" s="26"/>
      <c r="D13" s="26"/>
      <c r="E13" s="121" t="s">
        <v>162</v>
      </c>
      <c r="F13" s="122">
        <v>2</v>
      </c>
      <c r="G13" s="122"/>
      <c r="H13" s="122"/>
      <c r="I13" s="122"/>
      <c r="J13" s="122"/>
      <c r="K13" s="123"/>
    </row>
    <row r="14" spans="1:12" s="94" customFormat="1" ht="37.15" customHeight="1" thickBot="1" x14ac:dyDescent="0.25">
      <c r="A14" s="26"/>
      <c r="B14" s="21"/>
      <c r="C14" s="21"/>
      <c r="D14" s="26"/>
      <c r="E14" s="146" t="s">
        <v>163</v>
      </c>
      <c r="F14" s="147"/>
      <c r="G14" s="147"/>
      <c r="H14" s="147"/>
      <c r="I14" s="146">
        <f>K10+K11+K12</f>
        <v>1700</v>
      </c>
      <c r="J14" s="147"/>
      <c r="K14" s="148"/>
    </row>
    <row r="15" spans="1:12" s="94" customFormat="1" ht="43.15" customHeight="1" x14ac:dyDescent="0.2">
      <c r="A15" s="26"/>
      <c r="B15" s="21"/>
      <c r="C15" s="21"/>
      <c r="D15" s="26"/>
      <c r="I15" s="21"/>
    </row>
    <row r="16" spans="1:12" s="94" customFormat="1" ht="32.25" customHeight="1" x14ac:dyDescent="0.2">
      <c r="A16" s="26"/>
      <c r="B16" s="21"/>
      <c r="C16" s="21"/>
      <c r="D16" s="27"/>
      <c r="E16" s="120" t="s">
        <v>154</v>
      </c>
      <c r="F16" s="118">
        <v>15</v>
      </c>
      <c r="G16" s="118" t="s">
        <v>153</v>
      </c>
      <c r="H16" s="118">
        <v>300</v>
      </c>
      <c r="I16" s="118" t="s">
        <v>164</v>
      </c>
      <c r="J16" s="126">
        <v>40000</v>
      </c>
      <c r="K16" s="124">
        <f>H16*J16</f>
        <v>12000000</v>
      </c>
    </row>
    <row r="17" spans="1:11" s="94" customFormat="1" ht="36.75" customHeight="1" x14ac:dyDescent="0.2">
      <c r="A17" s="26"/>
      <c r="B17" s="21"/>
      <c r="C17" s="21"/>
      <c r="D17" s="27"/>
      <c r="E17" s="120" t="s">
        <v>155</v>
      </c>
      <c r="F17" s="118">
        <v>10</v>
      </c>
      <c r="G17" s="118" t="s">
        <v>156</v>
      </c>
      <c r="H17" s="118">
        <v>200</v>
      </c>
      <c r="I17" s="118" t="s">
        <v>164</v>
      </c>
      <c r="J17" s="126">
        <v>80000</v>
      </c>
      <c r="K17" s="124">
        <f>H17*J17</f>
        <v>16000000</v>
      </c>
    </row>
    <row r="18" spans="1:11" ht="48" customHeight="1" thickBot="1" x14ac:dyDescent="0.3">
      <c r="A18" s="20"/>
      <c r="D18" s="22"/>
      <c r="E18" s="121" t="s">
        <v>157</v>
      </c>
      <c r="F18" s="122">
        <v>5</v>
      </c>
      <c r="G18" s="122" t="s">
        <v>156</v>
      </c>
      <c r="H18" s="122">
        <v>100</v>
      </c>
      <c r="I18" s="118" t="s">
        <v>164</v>
      </c>
      <c r="J18" s="127">
        <v>125000</v>
      </c>
      <c r="K18" s="125">
        <f>H18*J18</f>
        <v>12500000</v>
      </c>
    </row>
    <row r="19" spans="1:11" s="94" customFormat="1" ht="54" customHeight="1" thickBot="1" x14ac:dyDescent="0.25">
      <c r="A19" s="26"/>
      <c r="B19" s="21"/>
      <c r="C19" s="21"/>
      <c r="D19" s="27"/>
      <c r="E19" s="146" t="s">
        <v>165</v>
      </c>
      <c r="F19" s="147"/>
      <c r="G19" s="147"/>
      <c r="H19" s="148"/>
      <c r="I19" s="149">
        <f>K16+K17+K18</f>
        <v>40500000</v>
      </c>
      <c r="J19" s="150"/>
      <c r="K19" s="151"/>
    </row>
    <row r="20" spans="1:11" ht="50.45" customHeight="1" x14ac:dyDescent="0.25">
      <c r="A20" s="20"/>
      <c r="D20" s="22"/>
      <c r="I20" s="94"/>
    </row>
    <row r="21" spans="1:11" ht="24.95" customHeight="1" x14ac:dyDescent="0.25">
      <c r="A21" s="20"/>
      <c r="D21" s="31"/>
      <c r="I21" s="94"/>
    </row>
    <row r="22" spans="1:11" ht="37.5" customHeight="1" x14ac:dyDescent="0.25">
      <c r="A22" s="20"/>
      <c r="D22" s="22"/>
    </row>
    <row r="23" spans="1:11" ht="34.9" customHeight="1" x14ac:dyDescent="0.2"/>
    <row r="24" spans="1:11" ht="39" customHeight="1" x14ac:dyDescent="0.2">
      <c r="B24" s="112" t="s">
        <v>78</v>
      </c>
    </row>
    <row r="25" spans="1:11" ht="43.9" customHeight="1" x14ac:dyDescent="0.2">
      <c r="B25" s="100" t="s">
        <v>60</v>
      </c>
    </row>
    <row r="26" spans="1:11" ht="31.15" customHeight="1" x14ac:dyDescent="0.2">
      <c r="B26" s="100" t="s">
        <v>26</v>
      </c>
    </row>
    <row r="27" spans="1:11" ht="34.5" customHeight="1" x14ac:dyDescent="0.2"/>
    <row r="28" spans="1:11" ht="14.65" customHeight="1" thickBot="1" x14ac:dyDescent="0.25"/>
    <row r="29" spans="1:11" ht="15.75" x14ac:dyDescent="0.2">
      <c r="E29" s="83" t="s">
        <v>83</v>
      </c>
      <c r="F29" s="84">
        <v>12</v>
      </c>
      <c r="G29" s="84" t="s">
        <v>69</v>
      </c>
      <c r="H29" s="96">
        <f>F29*25</f>
        <v>300</v>
      </c>
    </row>
    <row r="30" spans="1:11" ht="16.5" thickBot="1" x14ac:dyDescent="0.25">
      <c r="E30" s="88" t="s">
        <v>71</v>
      </c>
      <c r="F30" s="89">
        <v>8</v>
      </c>
      <c r="G30" s="89" t="s">
        <v>69</v>
      </c>
      <c r="H30" s="97">
        <f>F30*25</f>
        <v>200</v>
      </c>
    </row>
    <row r="31" spans="1:11" ht="15.75" thickBot="1" x14ac:dyDescent="0.25">
      <c r="E31" s="94"/>
      <c r="F31" s="94"/>
      <c r="G31" s="94"/>
      <c r="H31" s="94"/>
    </row>
    <row r="32" spans="1:11" ht="32.25" thickBot="1" x14ac:dyDescent="0.25">
      <c r="E32" s="32" t="s">
        <v>82</v>
      </c>
      <c r="F32" s="87" t="s">
        <v>62</v>
      </c>
      <c r="G32" s="87" t="s">
        <v>63</v>
      </c>
      <c r="H32" s="95" t="s">
        <v>64</v>
      </c>
    </row>
    <row r="33" spans="5:8" ht="15.75" x14ac:dyDescent="0.2">
      <c r="E33" s="92" t="s">
        <v>84</v>
      </c>
      <c r="F33" s="36">
        <v>5</v>
      </c>
      <c r="G33" s="36">
        <v>20</v>
      </c>
      <c r="H33" s="37">
        <f>G33*10</f>
        <v>200</v>
      </c>
    </row>
    <row r="34" spans="5:8" ht="16.5" thickBot="1" x14ac:dyDescent="0.25">
      <c r="E34" s="85" t="s">
        <v>65</v>
      </c>
      <c r="F34" s="82">
        <v>8</v>
      </c>
      <c r="G34" s="82">
        <f>F34*4</f>
        <v>32</v>
      </c>
      <c r="H34" s="86">
        <f>G34*10</f>
        <v>320</v>
      </c>
    </row>
    <row r="35" spans="5:8" ht="15.75" thickBot="1" x14ac:dyDescent="0.25"/>
    <row r="36" spans="5:8" ht="16.5" thickBot="1" x14ac:dyDescent="0.25">
      <c r="E36" s="32" t="s">
        <v>81</v>
      </c>
      <c r="F36" s="87" t="s">
        <v>66</v>
      </c>
      <c r="G36" s="87" t="s">
        <v>67</v>
      </c>
      <c r="H36" s="87" t="s">
        <v>68</v>
      </c>
    </row>
    <row r="37" spans="5:8" ht="15.75" x14ac:dyDescent="0.2">
      <c r="E37" s="92" t="s">
        <v>85</v>
      </c>
      <c r="F37" s="90">
        <v>60000</v>
      </c>
      <c r="G37" s="90">
        <f>F37*0.5</f>
        <v>30000</v>
      </c>
      <c r="H37" s="113">
        <f>F37*0.5</f>
        <v>30000</v>
      </c>
    </row>
    <row r="38" spans="5:8" ht="15.75" x14ac:dyDescent="0.2">
      <c r="E38" s="93" t="s">
        <v>65</v>
      </c>
      <c r="F38" s="57">
        <v>100000</v>
      </c>
      <c r="G38" s="57">
        <f>F38*0.5</f>
        <v>50000</v>
      </c>
      <c r="H38" s="57">
        <f>F38*0.5</f>
        <v>50000</v>
      </c>
    </row>
    <row r="39" spans="5:8" ht="15.75" thickBot="1" x14ac:dyDescent="0.25"/>
    <row r="40" spans="5:8" ht="32.25" thickBot="1" x14ac:dyDescent="0.25">
      <c r="E40" s="32" t="s">
        <v>80</v>
      </c>
      <c r="F40" s="87" t="s">
        <v>70</v>
      </c>
      <c r="G40" s="87" t="s">
        <v>72</v>
      </c>
      <c r="H40" s="87" t="s">
        <v>68</v>
      </c>
    </row>
    <row r="41" spans="5:8" ht="15.75" x14ac:dyDescent="0.2">
      <c r="E41" s="92" t="s">
        <v>85</v>
      </c>
      <c r="F41" s="36">
        <f>H29</f>
        <v>300</v>
      </c>
      <c r="G41" s="90">
        <f>F41*G37</f>
        <v>9000000</v>
      </c>
      <c r="H41" s="90">
        <f>F41*H37</f>
        <v>9000000</v>
      </c>
    </row>
    <row r="42" spans="5:8" ht="16.5" thickBot="1" x14ac:dyDescent="0.25">
      <c r="E42" s="93" t="s">
        <v>65</v>
      </c>
      <c r="F42" s="38">
        <v>200</v>
      </c>
      <c r="G42" s="57">
        <f>F42*G38</f>
        <v>10000000</v>
      </c>
      <c r="H42" s="57">
        <f>F42*H38</f>
        <v>10000000</v>
      </c>
    </row>
    <row r="43" spans="5:8" ht="16.5" thickBot="1" x14ac:dyDescent="0.25">
      <c r="E43" s="32" t="s">
        <v>73</v>
      </c>
      <c r="F43" s="98">
        <f>F41+F42</f>
        <v>500</v>
      </c>
      <c r="G43" s="91">
        <f>SUM(G41:G42)</f>
        <v>19000000</v>
      </c>
      <c r="H43" s="91">
        <f>SUM(H41:H42)</f>
        <v>19000000</v>
      </c>
    </row>
  </sheetData>
  <mergeCells count="8">
    <mergeCell ref="E19:H19"/>
    <mergeCell ref="I19:K19"/>
    <mergeCell ref="A1:I1"/>
    <mergeCell ref="A2:I2"/>
    <mergeCell ref="F7:H7"/>
    <mergeCell ref="I7:L7"/>
    <mergeCell ref="E14:H14"/>
    <mergeCell ref="I14:K14"/>
  </mergeCells>
  <phoneticPr fontId="0" type="noConversion"/>
  <printOptions horizontalCentered="1" verticalCentered="1"/>
  <pageMargins left="0.25" right="0.25" top="0.27" bottom="0.2" header="0.47" footer="0.2"/>
  <pageSetup scale="6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L30"/>
  <sheetViews>
    <sheetView showGridLines="0" topLeftCell="A8" zoomScale="80" zoomScaleNormal="80" workbookViewId="0">
      <selection activeCell="D16" sqref="D16"/>
    </sheetView>
  </sheetViews>
  <sheetFormatPr defaultColWidth="9.140625" defaultRowHeight="14.25" x14ac:dyDescent="0.2"/>
  <cols>
    <col min="1" max="1" width="32.42578125" style="18" bestFit="1" customWidth="1"/>
    <col min="2" max="2" width="18.28515625" style="18" customWidth="1"/>
    <col min="3" max="3" width="13.28515625" style="18" customWidth="1"/>
    <col min="4" max="4" width="37" style="18" bestFit="1" customWidth="1"/>
    <col min="5" max="5" width="20" style="18" bestFit="1" customWidth="1"/>
    <col min="6" max="7" width="20.5703125" style="19" bestFit="1" customWidth="1"/>
    <col min="8" max="8" width="23.42578125" style="19" bestFit="1" customWidth="1"/>
    <col min="9" max="9" width="17.7109375" style="18" customWidth="1"/>
    <col min="10" max="10" width="15" style="18" bestFit="1" customWidth="1"/>
    <col min="11" max="11" width="24.28515625" style="18" bestFit="1" customWidth="1"/>
    <col min="12" max="12" width="17.140625" style="18" bestFit="1" customWidth="1"/>
    <col min="13" max="16384" width="9.140625" style="18"/>
  </cols>
  <sheetData>
    <row r="1" spans="1:12" s="66" customFormat="1" x14ac:dyDescent="0.2">
      <c r="D1" s="67"/>
      <c r="F1" s="67"/>
      <c r="G1" s="67"/>
      <c r="H1" s="67"/>
    </row>
    <row r="2" spans="1:12" s="66" customFormat="1" ht="27.75" customHeight="1" x14ac:dyDescent="0.2">
      <c r="A2" s="143" t="s">
        <v>76</v>
      </c>
      <c r="B2" s="143"/>
      <c r="C2" s="143"/>
      <c r="D2" s="143"/>
      <c r="E2" s="143"/>
      <c r="F2" s="143"/>
      <c r="G2" s="143"/>
    </row>
    <row r="3" spans="1:12" s="66" customFormat="1" ht="15" thickBot="1" x14ac:dyDescent="0.25">
      <c r="F3" s="67"/>
      <c r="G3" s="67"/>
      <c r="H3" s="67"/>
    </row>
    <row r="4" spans="1:12" s="66" customFormat="1" ht="24.95" customHeight="1" thickBot="1" x14ac:dyDescent="0.25">
      <c r="A4" s="157" t="s">
        <v>51</v>
      </c>
      <c r="B4" s="159"/>
      <c r="D4" s="180" t="s">
        <v>27</v>
      </c>
      <c r="E4" s="181"/>
      <c r="F4" s="181"/>
      <c r="G4" s="181"/>
    </row>
    <row r="5" spans="1:12" s="66" customFormat="1" ht="24.95" customHeight="1" x14ac:dyDescent="0.2">
      <c r="A5" s="101" t="s">
        <v>4</v>
      </c>
      <c r="B5" s="102">
        <f>'Capacity projection'!C7</f>
        <v>20250000</v>
      </c>
      <c r="D5" s="162" t="s">
        <v>173</v>
      </c>
      <c r="E5" s="165" t="s">
        <v>47</v>
      </c>
      <c r="F5" s="166" t="s">
        <v>45</v>
      </c>
      <c r="G5" s="166" t="s">
        <v>46</v>
      </c>
    </row>
    <row r="6" spans="1:12" s="66" customFormat="1" ht="24.95" customHeight="1" x14ac:dyDescent="0.2">
      <c r="A6" s="69" t="s">
        <v>25</v>
      </c>
      <c r="B6" s="70">
        <f xml:space="preserve"> 0.75*B5</f>
        <v>15187500</v>
      </c>
      <c r="D6" s="163"/>
      <c r="E6" s="161" t="s">
        <v>44</v>
      </c>
      <c r="F6" s="160" t="s">
        <v>74</v>
      </c>
      <c r="G6" s="160" t="s">
        <v>75</v>
      </c>
    </row>
    <row r="7" spans="1:12" s="66" customFormat="1" ht="24.95" customHeight="1" thickBot="1" x14ac:dyDescent="0.25">
      <c r="A7" s="104" t="s">
        <v>89</v>
      </c>
      <c r="B7" s="103">
        <f>0.6*B5</f>
        <v>12150000</v>
      </c>
      <c r="D7" s="164"/>
      <c r="E7" s="167">
        <f>'Annual Cost Sheet'!D8</f>
        <v>2136000</v>
      </c>
      <c r="F7" s="168">
        <f>'Annual Cost Sheet'!E8</f>
        <v>2381100</v>
      </c>
      <c r="G7" s="168">
        <f>'Annual Cost Sheet'!F8</f>
        <v>2619210</v>
      </c>
    </row>
    <row r="8" spans="1:12" s="66" customFormat="1" ht="24.95" customHeight="1" thickBot="1" x14ac:dyDescent="0.25">
      <c r="A8" s="73" t="s">
        <v>5</v>
      </c>
      <c r="B8" s="74">
        <f xml:space="preserve"> 0.5*B5</f>
        <v>10125000</v>
      </c>
      <c r="H8" s="71"/>
    </row>
    <row r="9" spans="1:12" s="66" customFormat="1" ht="24.95" customHeight="1" thickBot="1" x14ac:dyDescent="0.25">
      <c r="A9" s="75" t="s">
        <v>178</v>
      </c>
      <c r="B9" s="76">
        <f>B5*0.15</f>
        <v>3037500</v>
      </c>
    </row>
    <row r="10" spans="1:12" s="66" customFormat="1" ht="24.95" customHeight="1" thickBot="1" x14ac:dyDescent="0.25">
      <c r="D10" s="184" t="s">
        <v>175</v>
      </c>
      <c r="E10" s="182" t="s">
        <v>47</v>
      </c>
      <c r="F10" s="182" t="s">
        <v>45</v>
      </c>
      <c r="G10" s="183" t="s">
        <v>46</v>
      </c>
    </row>
    <row r="11" spans="1:12" s="66" customFormat="1" ht="24.95" customHeight="1" thickBot="1" x14ac:dyDescent="0.25">
      <c r="A11" s="157" t="s">
        <v>52</v>
      </c>
      <c r="B11" s="158"/>
      <c r="D11" s="177" t="s">
        <v>19</v>
      </c>
      <c r="E11" s="178">
        <f>B5-E7</f>
        <v>18114000</v>
      </c>
      <c r="F11" s="178">
        <f>B12-F7</f>
        <v>22931400</v>
      </c>
      <c r="G11" s="179">
        <f>B19-G7</f>
        <v>29021415</v>
      </c>
    </row>
    <row r="12" spans="1:12" s="66" customFormat="1" ht="24.95" customHeight="1" x14ac:dyDescent="0.2">
      <c r="A12" s="101" t="s">
        <v>4</v>
      </c>
      <c r="B12" s="102">
        <f>B5*25/100+B5</f>
        <v>25312500</v>
      </c>
      <c r="D12" s="72" t="s">
        <v>20</v>
      </c>
      <c r="E12" s="169">
        <f>B6-E7</f>
        <v>13051500</v>
      </c>
      <c r="F12" s="169">
        <f>B13-F7</f>
        <v>16603275</v>
      </c>
      <c r="G12" s="170">
        <f>B20-G7</f>
        <v>21111258.75</v>
      </c>
    </row>
    <row r="13" spans="1:12" s="66" customFormat="1" ht="24.95" customHeight="1" x14ac:dyDescent="0.2">
      <c r="A13" s="69" t="s">
        <v>25</v>
      </c>
      <c r="B13" s="70">
        <f xml:space="preserve"> 0.75*B12</f>
        <v>18984375</v>
      </c>
      <c r="D13" s="72" t="s">
        <v>174</v>
      </c>
      <c r="E13" s="169">
        <f>B7-E7</f>
        <v>10014000</v>
      </c>
      <c r="F13" s="169">
        <f>B14-F7</f>
        <v>12806400</v>
      </c>
      <c r="G13" s="170">
        <f>B21-G7</f>
        <v>16365165</v>
      </c>
      <c r="L13" s="18"/>
    </row>
    <row r="14" spans="1:12" s="66" customFormat="1" ht="24.75" customHeight="1" thickBot="1" x14ac:dyDescent="0.25">
      <c r="A14" s="104" t="s">
        <v>89</v>
      </c>
      <c r="B14" s="103">
        <f>0.6*B12</f>
        <v>15187500</v>
      </c>
      <c r="D14" s="171" t="s">
        <v>21</v>
      </c>
      <c r="E14" s="172">
        <f>B8-E7</f>
        <v>7989000</v>
      </c>
      <c r="F14" s="172">
        <f>B15-F7</f>
        <v>10275150</v>
      </c>
      <c r="G14" s="173">
        <f>B22-G7</f>
        <v>13201102.5</v>
      </c>
      <c r="I14" s="18"/>
      <c r="L14" s="18"/>
    </row>
    <row r="15" spans="1:12" s="66" customFormat="1" ht="24.95" customHeight="1" thickBot="1" x14ac:dyDescent="0.25">
      <c r="A15" s="73" t="s">
        <v>5</v>
      </c>
      <c r="B15" s="74">
        <f xml:space="preserve"> 0.5*B12</f>
        <v>12656250</v>
      </c>
      <c r="D15" s="174" t="s">
        <v>179</v>
      </c>
      <c r="E15" s="175">
        <f>B9-E7</f>
        <v>901500</v>
      </c>
      <c r="F15" s="175">
        <f>B16-F7</f>
        <v>1415775</v>
      </c>
      <c r="G15" s="176">
        <f>B23-G7</f>
        <v>2126883.75</v>
      </c>
      <c r="I15" s="18"/>
      <c r="L15" s="18"/>
    </row>
    <row r="16" spans="1:12" s="66" customFormat="1" ht="24.95" customHeight="1" thickBot="1" x14ac:dyDescent="0.25">
      <c r="A16" s="75" t="s">
        <v>178</v>
      </c>
      <c r="B16" s="76">
        <f>B12*0.15</f>
        <v>3796875</v>
      </c>
      <c r="E16" s="18"/>
      <c r="F16" s="19"/>
      <c r="G16" s="67"/>
      <c r="H16" s="67"/>
      <c r="I16" s="18"/>
      <c r="L16" s="18"/>
    </row>
    <row r="17" spans="1:10" ht="23.25" customHeight="1" thickBot="1" x14ac:dyDescent="0.25">
      <c r="A17" s="66"/>
      <c r="B17" s="66"/>
      <c r="D17" s="66"/>
      <c r="G17" s="67"/>
      <c r="H17" s="67"/>
      <c r="J17" s="66"/>
    </row>
    <row r="18" spans="1:10" ht="24.75" customHeight="1" thickBot="1" x14ac:dyDescent="0.25">
      <c r="A18" s="157" t="s">
        <v>53</v>
      </c>
      <c r="B18" s="158"/>
    </row>
    <row r="19" spans="1:10" ht="24.75" customHeight="1" x14ac:dyDescent="0.2">
      <c r="A19" s="101" t="s">
        <v>4</v>
      </c>
      <c r="B19" s="68">
        <f>B12*25/100+B12</f>
        <v>31640625</v>
      </c>
    </row>
    <row r="20" spans="1:10" ht="24.75" customHeight="1" x14ac:dyDescent="0.2">
      <c r="A20" s="69" t="s">
        <v>25</v>
      </c>
      <c r="B20" s="70">
        <f xml:space="preserve"> 0.75*B19</f>
        <v>23730468.75</v>
      </c>
    </row>
    <row r="21" spans="1:10" ht="24.75" customHeight="1" x14ac:dyDescent="0.2">
      <c r="A21" s="104" t="s">
        <v>89</v>
      </c>
      <c r="B21" s="103">
        <f>0.6*B19</f>
        <v>18984375</v>
      </c>
    </row>
    <row r="22" spans="1:10" ht="27" customHeight="1" thickBot="1" x14ac:dyDescent="0.25">
      <c r="A22" s="73" t="s">
        <v>5</v>
      </c>
      <c r="B22" s="74">
        <f xml:space="preserve"> 0.5*B19</f>
        <v>15820312.5</v>
      </c>
    </row>
    <row r="23" spans="1:10" ht="26.25" customHeight="1" thickBot="1" x14ac:dyDescent="0.25">
      <c r="A23" s="75" t="s">
        <v>178</v>
      </c>
      <c r="B23" s="76">
        <f>B19*0.15</f>
        <v>4746093.75</v>
      </c>
    </row>
    <row r="28" spans="1:10" x14ac:dyDescent="0.2">
      <c r="A28" s="79" t="s">
        <v>78</v>
      </c>
    </row>
    <row r="29" spans="1:10" x14ac:dyDescent="0.2">
      <c r="A29" s="78" t="s">
        <v>60</v>
      </c>
    </row>
    <row r="30" spans="1:10" x14ac:dyDescent="0.2">
      <c r="A30" s="78" t="s">
        <v>26</v>
      </c>
    </row>
  </sheetData>
  <mergeCells count="6">
    <mergeCell ref="A2:G2"/>
    <mergeCell ref="D4:G4"/>
    <mergeCell ref="A11:B11"/>
    <mergeCell ref="A18:B18"/>
    <mergeCell ref="A4:B4"/>
    <mergeCell ref="D5:D7"/>
  </mergeCells>
  <phoneticPr fontId="0" type="noConversion"/>
  <printOptions horizontalCentered="1" verticalCentered="1"/>
  <pageMargins left="0.2" right="0.19" top="1" bottom="1" header="0.5" footer="0.5"/>
  <pageSetup paperSize="9" scale="86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D3" sqref="D3"/>
    </sheetView>
  </sheetViews>
  <sheetFormatPr defaultRowHeight="12.75" x14ac:dyDescent="0.2"/>
  <cols>
    <col min="2" max="2" width="8" bestFit="1" customWidth="1"/>
    <col min="4" max="4" width="34.7109375" customWidth="1"/>
    <col min="5" max="5" width="33.140625" customWidth="1"/>
    <col min="6" max="6" width="15.85546875" bestFit="1" customWidth="1"/>
    <col min="7" max="7" width="14.7109375" customWidth="1"/>
  </cols>
  <sheetData>
    <row r="1" spans="1:6" ht="25.5" x14ac:dyDescent="0.2">
      <c r="A1" s="131" t="s">
        <v>92</v>
      </c>
      <c r="B1" s="132" t="s">
        <v>93</v>
      </c>
      <c r="C1" s="132" t="s">
        <v>94</v>
      </c>
      <c r="D1" s="132" t="s">
        <v>95</v>
      </c>
      <c r="E1" s="132" t="s">
        <v>96</v>
      </c>
      <c r="F1" s="133" t="s">
        <v>97</v>
      </c>
    </row>
    <row r="2" spans="1:6" ht="76.5" x14ac:dyDescent="0.2">
      <c r="A2" s="134" t="s">
        <v>98</v>
      </c>
      <c r="B2" s="114" t="s">
        <v>99</v>
      </c>
      <c r="C2" s="114" t="s">
        <v>100</v>
      </c>
      <c r="D2" s="114" t="s">
        <v>101</v>
      </c>
      <c r="E2" s="114" t="s">
        <v>102</v>
      </c>
      <c r="F2" s="135" t="s">
        <v>103</v>
      </c>
    </row>
    <row r="3" spans="1:6" ht="63.75" x14ac:dyDescent="0.2">
      <c r="A3" s="134" t="s">
        <v>104</v>
      </c>
      <c r="B3" s="114" t="s">
        <v>105</v>
      </c>
      <c r="C3" s="114" t="s">
        <v>142</v>
      </c>
      <c r="D3" s="114" t="s">
        <v>106</v>
      </c>
      <c r="E3" s="114" t="s">
        <v>107</v>
      </c>
      <c r="F3" s="135" t="s">
        <v>108</v>
      </c>
    </row>
    <row r="4" spans="1:6" ht="76.5" x14ac:dyDescent="0.2">
      <c r="A4" s="134" t="s">
        <v>109</v>
      </c>
      <c r="B4" s="114" t="s">
        <v>110</v>
      </c>
      <c r="C4" s="114" t="s">
        <v>168</v>
      </c>
      <c r="D4" s="114" t="s">
        <v>111</v>
      </c>
      <c r="E4" s="114" t="s">
        <v>112</v>
      </c>
      <c r="F4" s="136" t="s">
        <v>113</v>
      </c>
    </row>
    <row r="5" spans="1:6" ht="76.5" x14ac:dyDescent="0.2">
      <c r="A5" s="134" t="s">
        <v>114</v>
      </c>
      <c r="B5" s="114" t="s">
        <v>115</v>
      </c>
      <c r="C5" s="114" t="s">
        <v>116</v>
      </c>
      <c r="D5" s="114" t="s">
        <v>117</v>
      </c>
      <c r="E5" s="114" t="s">
        <v>118</v>
      </c>
      <c r="F5" s="136" t="s">
        <v>119</v>
      </c>
    </row>
    <row r="6" spans="1:6" ht="76.5" x14ac:dyDescent="0.2">
      <c r="A6" s="137" t="s">
        <v>120</v>
      </c>
      <c r="B6" s="130" t="s">
        <v>121</v>
      </c>
      <c r="C6" s="130" t="s">
        <v>169</v>
      </c>
      <c r="D6" s="130" t="s">
        <v>122</v>
      </c>
      <c r="E6" s="114" t="s">
        <v>123</v>
      </c>
      <c r="F6" s="136" t="s">
        <v>124</v>
      </c>
    </row>
    <row r="7" spans="1:6" ht="38.25" x14ac:dyDescent="0.2">
      <c r="A7" s="137" t="s">
        <v>143</v>
      </c>
      <c r="B7" s="130" t="s">
        <v>140</v>
      </c>
      <c r="C7" s="130" t="s">
        <v>166</v>
      </c>
      <c r="D7" s="130" t="s">
        <v>141</v>
      </c>
      <c r="E7" s="114" t="s">
        <v>138</v>
      </c>
      <c r="F7" s="136" t="s">
        <v>139</v>
      </c>
    </row>
    <row r="8" spans="1:6" ht="63.75" x14ac:dyDescent="0.2">
      <c r="A8" s="137" t="s">
        <v>125</v>
      </c>
      <c r="B8" s="130" t="s">
        <v>126</v>
      </c>
      <c r="C8" s="130" t="s">
        <v>170</v>
      </c>
      <c r="D8" s="130" t="s">
        <v>127</v>
      </c>
      <c r="E8" s="114" t="s">
        <v>128</v>
      </c>
      <c r="F8" s="136" t="s">
        <v>129</v>
      </c>
    </row>
    <row r="9" spans="1:6" ht="89.25" x14ac:dyDescent="0.2">
      <c r="A9" s="137" t="s">
        <v>130</v>
      </c>
      <c r="B9" s="130" t="s">
        <v>131</v>
      </c>
      <c r="C9" s="130" t="s">
        <v>171</v>
      </c>
      <c r="D9" s="130" t="s">
        <v>132</v>
      </c>
      <c r="E9" s="114" t="s">
        <v>133</v>
      </c>
      <c r="F9" s="136" t="s">
        <v>134</v>
      </c>
    </row>
    <row r="10" spans="1:6" ht="51.75" thickBot="1" x14ac:dyDescent="0.25">
      <c r="A10" s="138" t="s">
        <v>135</v>
      </c>
      <c r="B10" s="139" t="s">
        <v>131</v>
      </c>
      <c r="C10" s="139" t="s">
        <v>167</v>
      </c>
      <c r="D10" s="139" t="s">
        <v>136</v>
      </c>
      <c r="E10" s="140" t="s">
        <v>137</v>
      </c>
      <c r="F10" s="141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Title</vt:lpstr>
      <vt:lpstr>Operating Expenses</vt:lpstr>
      <vt:lpstr>Annual Cost Sheet</vt:lpstr>
      <vt:lpstr>Capacity projection</vt:lpstr>
      <vt:lpstr>Rev against Exp</vt:lpstr>
      <vt:lpstr>Fees Cart</vt:lpstr>
    </vt:vector>
  </TitlesOfParts>
  <Company>Aptech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Joes</dc:creator>
  <cp:lastModifiedBy>User</cp:lastModifiedBy>
  <cp:lastPrinted>2016-12-17T04:56:51Z</cp:lastPrinted>
  <dcterms:created xsi:type="dcterms:W3CDTF">2001-06-25T08:04:47Z</dcterms:created>
  <dcterms:modified xsi:type="dcterms:W3CDTF">2025-12-06T06:21:27Z</dcterms:modified>
</cp:coreProperties>
</file>